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3gpUBUtu85kZrHVBmV7R5u5xcMiyGaJ1DH+kwp0lhK/4YQFToq3UHu00LgfYIdaNYdE3la2A6NtFZDsITmQWEg==" workbookSaltValue="RiIstClF3xrsOP+cfsI1P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H17" i="16"/>
  <c r="BF17" i="11"/>
  <c r="W13" i="20"/>
  <c r="AT17" i="20"/>
  <c r="T13" i="12"/>
  <c r="BK15" i="11"/>
  <c r="V9" i="11"/>
  <c r="BG9" i="11"/>
  <c r="AP17" i="20"/>
  <c r="BV16" i="16"/>
  <c r="BU9" i="17"/>
  <c r="T13" i="16"/>
  <c r="BF12" i="11"/>
  <c r="Q15" i="17"/>
  <c r="BH12" i="16"/>
  <c r="C10" i="14"/>
  <c r="K10" i="14" s="1"/>
  <c r="AC20" i="20"/>
  <c r="AL20" i="20"/>
  <c r="E20" i="20"/>
  <c r="BD9" i="8" l="1"/>
  <c r="H17" i="2"/>
  <c r="BG15" i="8"/>
  <c r="K15" i="7" s="1"/>
  <c r="BG12"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5" i="12" l="1"/>
  <c r="K16" i="12"/>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H20" i="17"/>
  <c r="O10" i="11"/>
  <c r="AK20" i="20"/>
  <c r="AW20" i="11"/>
  <c r="AV20" i="21"/>
  <c r="U17" i="11"/>
  <c r="Y20" i="20"/>
  <c r="AA20" i="20"/>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F20" i="21"/>
  <c r="N20" i="11"/>
  <c r="AC20" i="21"/>
  <c r="L20" i="21"/>
  <c r="AN20" i="17"/>
  <c r="BF20" i="16"/>
  <c r="O20" i="16"/>
  <c r="V20" i="20"/>
  <c r="P20" i="21"/>
  <c r="H20" i="2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AP20" i="21"/>
  <c r="X20" i="21"/>
  <c r="Z20" i="17"/>
  <c r="G20" i="12"/>
  <c r="AZ20" i="11"/>
  <c r="AD20" i="1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<sst xmlns="http://schemas.openxmlformats.org/spreadsheetml/2006/main" count="2094" uniqueCount="912">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</sst>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DPxHl4nMRG0U1LRlFZ5GaN1nR8DmAOqXtwGk3B1LdK++L4yRae2q06qVlzpYDVqFv7/Ff15hRIUv1uZEPe0g==" saltValue="HoquB+N6WqiD4dRY8UjH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68.40798786653184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52</v>
      </c>
      <c r="D10" s="229">
        <f>IF(ISNUMBER(Datos!I10),Datos!I10," - ")</f>
        <v>52</v>
      </c>
      <c r="E10" s="230">
        <f>IF(ISNUMBER(Datos!J10),Datos!J10," - ")</f>
        <v>27</v>
      </c>
      <c r="F10" s="230">
        <f>IF(ISNUMBER(Datos!K10),Datos!K10," - ")</f>
        <v>27</v>
      </c>
      <c r="G10" s="1189" t="str">
        <f>IF(Datos!E10&lt;&gt;"",Datos!E10,Datos!D10)</f>
        <v>37</v>
      </c>
      <c r="H10" s="231">
        <f>IF(ISNUMBER(Datos!L10),Datos!L10," - ")</f>
        <v>52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21.185185185185183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52</v>
      </c>
      <c r="D13" s="1206">
        <f>SUBTOTAL(9,D9:D12)</f>
        <v>52</v>
      </c>
      <c r="E13" s="1207">
        <f>SUBTOTAL(9,E9:E12)</f>
        <v>27</v>
      </c>
      <c r="F13" s="1208">
        <f>SUBTOTAL(9,F9:F12)</f>
        <v>27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892</v>
      </c>
      <c r="D15" s="229">
        <f>IF(ISNUMBER(IF(D_I="SI",Datos!I15,Datos!I15+Datos!AC15)),IF(D_I="SI",Datos!I15,Datos!I15+Datos!AC15)," - ")</f>
        <v>888</v>
      </c>
      <c r="E15" s="230">
        <f>IF(ISNUMBER(IF(D_I="SI",Datos!J15,Datos!J15+Datos!AD15)),IF(D_I="SI",Datos!J15,Datos!J15+Datos!AD15)," - ")</f>
        <v>1129</v>
      </c>
      <c r="F15" s="230">
        <f>IF(ISNUMBER(IF(D_I="SI",Datos!K15,Datos!K15+Datos!AE15)),IF(D_I="SI",Datos!K15,Datos!K15+Datos!AE15)," - ")</f>
        <v>1035</v>
      </c>
      <c r="G15" s="1189" t="str">
        <f>IF(Datos!E15&lt;&gt;"",Datos!E15,Datos!D15)</f>
        <v>03</v>
      </c>
      <c r="H15" s="231">
        <f>IF(ISNUMBER(IF(D_I="SI",Datos!L15,Datos!L15+Datos!AF15)),IF(D_I="SI",Datos!L15,Datos!L15+Datos!AF15)," - ")</f>
        <v>986</v>
      </c>
      <c r="I15" s="1199" t="str">
        <f>IF(ISNUMBER(Datos!AS15/Datos!BM15),Datos!AS15/Datos!BM15," - ")</f>
        <v xml:space="preserve"> - </v>
      </c>
      <c r="J15" s="1200">
        <f>IF(ISNUMBER(Datos!BY15/Datos!CN15),Datos!BY15/Datos!CN15," - ")</f>
        <v>0</v>
      </c>
      <c r="K15" s="234">
        <f t="shared" ref="K15:K17" si="3">IF(ISNUMBER((E15-F15)/C15),(E15-F15)/C15," - ")</f>
        <v>0.10538116591928251</v>
      </c>
      <c r="L15" s="1201">
        <f>IF(ISNUMBER(NºAsuntos!I15/NºAsuntos!G15),(NºAsuntos!I15/NºAsuntos!G15)*11," - ")</f>
        <v>10.479227053140097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215</v>
      </c>
      <c r="D17" s="229">
        <f>IF(ISNUMBER(IF(D_I="SI",Datos!I17,Datos!I17+Datos!AC17)),IF(D_I="SI",Datos!I17,Datos!I17+Datos!AC17)," - ")</f>
        <v>215</v>
      </c>
      <c r="E17" s="230">
        <f>IF(ISNUMBER(IF(D_I="SI",Datos!J17,Datos!J17+Datos!AD17)),IF(D_I="SI",Datos!J17,Datos!J17+Datos!AD17)," - ")</f>
        <v>161</v>
      </c>
      <c r="F17" s="230">
        <f>IF(ISNUMBER(IF(D_I="SI",Datos!K17,Datos!K17+Datos!AE17)),IF(D_I="SI",Datos!K17,Datos!K17+Datos!AE17)," - ")</f>
        <v>171</v>
      </c>
      <c r="G17" s="1189" t="str">
        <f>IF(Datos!E17&lt;&gt;"",Datos!E17,Datos!D17)</f>
        <v>37</v>
      </c>
      <c r="H17" s="231">
        <f>IF(ISNUMBER(IF(D_I="SI",Datos!L17,Datos!L17+Datos!AF17)),IF(D_I="SI",Datos!L17,Datos!L17+Datos!AF17)," - ")</f>
        <v>205</v>
      </c>
      <c r="I17" s="1199" t="str">
        <f>IF(ISNUMBER(Datos!AS17/Datos!BM17),Datos!AS17/Datos!BM17," - ")</f>
        <v xml:space="preserve"> - </v>
      </c>
      <c r="J17" s="1200" t="str">
        <f>IF(ISNUMBER((Datos!BY17+Datos!BZ17)/Datos!CN17),(Datos!BY17+Datos!BZ17)/Datos!CN17," - ")</f>
        <v xml:space="preserve"> - </v>
      </c>
      <c r="K17" s="234">
        <f t="shared" si="3"/>
        <v>-4.6511627906976744E-2</v>
      </c>
      <c r="L17" s="1201">
        <f>IF(ISNUMBER(NºAsuntos!I17/NºAsuntos!G17),(NºAsuntos!I17/NºAsuntos!G17)*11," - ")</f>
        <v>13.187134502923978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1107</v>
      </c>
      <c r="D18" s="1206">
        <f>SUBTOTAL(9,D15:D17)</f>
        <v>1103</v>
      </c>
      <c r="E18" s="1207">
        <f>SUBTOTAL(9,E15:E17)</f>
        <v>1290</v>
      </c>
      <c r="F18" s="1207">
        <f>SUBTOTAL(9,F15:F17)</f>
        <v>1206</v>
      </c>
      <c r="G18" s="1209" t="str">
        <f ca="1">INDIRECT(CONCATENATE("G",ROW()-1))</f>
        <v>37</v>
      </c>
      <c r="H18" s="1210">
        <f ca="1">SUMIF(G$14:G17,G18,H$14:H17)</f>
        <v>205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1159</v>
      </c>
      <c r="D19" s="1228">
        <f>SUBTOTAL(9,D9:D18)</f>
        <v>1155</v>
      </c>
      <c r="E19" s="1229">
        <f>SUBTOTAL(9,E9:E18)</f>
        <v>1317</v>
      </c>
      <c r="F19" s="1229">
        <f>SUBTOTAL(9,F9:F18)</f>
        <v>1233</v>
      </c>
      <c r="G19" s="1230"/>
      <c r="H19" s="1231">
        <f ca="1">SUMIF(B9:B18,"TOTAL",H9:H18)</f>
        <v>205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nnQdhFc0DxzW9oBo81zZm4/3z9pKj0pceDxv3PSiMe9Ss+2eKcKzll446G+DbNGCIEuHl/b+p5zAvSGMETbpA==" saltValue="jNxLa4fe+CcspoeaOAX+H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oIu9OjQgs+4XsBVW5uRTo9JcXGktB4DNZWc6eyp3Nq2qjWkscIO1nv8wo7AABASs9ONpCxeQpfbk0URl3ksQ==" saltValue="JKfEMHiYBYZmH4v+6Bht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10767</v>
      </c>
      <c r="J9" s="185">
        <v>1983</v>
      </c>
      <c r="K9" s="185">
        <v>1862</v>
      </c>
      <c r="L9" s="185">
        <v>12000</v>
      </c>
      <c r="M9" s="185">
        <v>921</v>
      </c>
      <c r="N9" s="185">
        <v>486</v>
      </c>
      <c r="O9" s="185">
        <v>926</v>
      </c>
      <c r="P9" s="185">
        <v>452</v>
      </c>
      <c r="Q9" s="185">
        <v>805</v>
      </c>
      <c r="R9" s="185">
        <v>7691</v>
      </c>
      <c r="S9" s="185">
        <v>12202</v>
      </c>
      <c r="T9" s="185">
        <v>2297</v>
      </c>
      <c r="U9" s="185">
        <v>2498</v>
      </c>
      <c r="V9" s="185">
        <v>12001</v>
      </c>
      <c r="W9" s="185">
        <v>1314</v>
      </c>
      <c r="X9" s="192">
        <v>648</v>
      </c>
      <c r="Y9" s="195">
        <v>296</v>
      </c>
      <c r="Z9" s="185">
        <v>121</v>
      </c>
      <c r="AA9" s="185">
        <v>116</v>
      </c>
      <c r="AB9" s="185">
        <v>301</v>
      </c>
      <c r="AC9" s="185">
        <v>0</v>
      </c>
      <c r="AD9" s="185">
        <v>0</v>
      </c>
      <c r="AE9" s="185">
        <v>0</v>
      </c>
      <c r="AF9" s="192">
        <v>0</v>
      </c>
      <c r="AG9" s="195">
        <v>267</v>
      </c>
      <c r="AH9" s="185">
        <v>200</v>
      </c>
      <c r="AI9" s="185">
        <v>161</v>
      </c>
      <c r="AJ9" s="196">
        <v>306</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12469</v>
      </c>
      <c r="AZ9" s="124">
        <f>IF(ISNUMBER(IF(J_V="SI",T9,T9+AH9)),IF(J_V="SI",T9,T9+AH9)," - ")</f>
        <v>2497</v>
      </c>
      <c r="BA9" s="125">
        <f>IF(ISNUMBER(IF(J_V="SI",U9,U9+AI9)),IF(J_V="SI",U9,U9+AI9)," - ")</f>
        <v>2659</v>
      </c>
      <c r="BB9" s="125">
        <f>IF(ISNUMBER(IF(J_V="SI",V9,V9+AJ9)),IF(J_V="SI",V9,V9+AJ9)," - ")</f>
        <v>12307</v>
      </c>
      <c r="BC9" s="126">
        <f>IF(ISNUMBER(X9),X9," - ")</f>
        <v>648</v>
      </c>
      <c r="BD9" s="127">
        <f>IF(ISNUMBER(BA9/AZ9),BA9/AZ9," - ")</f>
        <v>1.064877853424109</v>
      </c>
      <c r="BE9" s="128">
        <f>IF(ISNUMBER(BB9/BA9),BB9/BA9, " - ")</f>
        <v>4.6284317412561116</v>
      </c>
      <c r="BF9" s="128">
        <f>IF(ISNUMBER(BC9/BA9),BC9/BA9, " - ")</f>
        <v>0.24370063933809702</v>
      </c>
      <c r="BG9" s="200">
        <f>IF(ISNUMBER((AY9+AZ9)/BA9),(AY9+AZ9)/BA9," - ")</f>
        <v>5.6284317412561116</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52</v>
      </c>
      <c r="J10" s="185">
        <v>27</v>
      </c>
      <c r="K10" s="185">
        <v>27</v>
      </c>
      <c r="L10" s="185">
        <v>52</v>
      </c>
      <c r="M10" s="185">
        <v>7</v>
      </c>
      <c r="N10" s="185">
        <v>5</v>
      </c>
      <c r="O10" s="185">
        <v>12</v>
      </c>
      <c r="P10" s="185">
        <v>1</v>
      </c>
      <c r="Q10" s="185">
        <v>6</v>
      </c>
      <c r="R10" s="185">
        <v>26</v>
      </c>
      <c r="S10" s="185">
        <v>55</v>
      </c>
      <c r="T10" s="185">
        <v>28</v>
      </c>
      <c r="U10" s="185">
        <v>28</v>
      </c>
      <c r="V10" s="185">
        <v>55</v>
      </c>
      <c r="W10" s="185">
        <v>4</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55</v>
      </c>
      <c r="AZ10" s="130">
        <f t="shared" si="0"/>
        <v>28</v>
      </c>
      <c r="BA10" s="130">
        <f t="shared" si="0"/>
        <v>28</v>
      </c>
      <c r="BB10" s="130">
        <f t="shared" si="0"/>
        <v>55</v>
      </c>
      <c r="BC10" s="126">
        <f t="shared" si="0"/>
        <v>4</v>
      </c>
      <c r="BD10" s="127">
        <f>IF(ISNUMBER(BA10/AZ10),BA10/AZ10," - ")</f>
        <v>1</v>
      </c>
      <c r="BE10" s="128">
        <f>IF(ISNUMBER(BB10/BA10),BB10/BA10, " - ")</f>
        <v>1.9642857142857142</v>
      </c>
      <c r="BF10" s="128">
        <f>IF(ISNUMBER(BC10/BA10),BC10/BA10, " - ")</f>
        <v>0.14285714285714285</v>
      </c>
      <c r="BG10" s="200">
        <f>IF(ISNUMBER((AY10+AZ10)/BA10),(AY10+AZ10)/BA10," - ")</f>
        <v>2.9642857142857144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10819</v>
      </c>
      <c r="J13" s="188">
        <f t="shared" si="6"/>
        <v>2010</v>
      </c>
      <c r="K13" s="188">
        <f t="shared" si="6"/>
        <v>1889</v>
      </c>
      <c r="L13" s="188">
        <f t="shared" si="6"/>
        <v>12052</v>
      </c>
      <c r="M13" s="188">
        <f t="shared" si="6"/>
        <v>928</v>
      </c>
      <c r="N13" s="188">
        <f t="shared" si="6"/>
        <v>491</v>
      </c>
      <c r="O13" s="188">
        <f t="shared" si="6"/>
        <v>938</v>
      </c>
      <c r="P13" s="188">
        <f t="shared" si="6"/>
        <v>453</v>
      </c>
      <c r="Q13" s="188">
        <f t="shared" si="6"/>
        <v>811</v>
      </c>
      <c r="R13" s="188">
        <f t="shared" si="6"/>
        <v>7717</v>
      </c>
      <c r="S13" s="188">
        <f t="shared" si="6"/>
        <v>12257</v>
      </c>
      <c r="T13" s="188">
        <f t="shared" si="6"/>
        <v>2325</v>
      </c>
      <c r="U13" s="188">
        <f t="shared" si="6"/>
        <v>2526</v>
      </c>
      <c r="V13" s="188">
        <f t="shared" si="6"/>
        <v>12056</v>
      </c>
      <c r="W13" s="188">
        <f t="shared" si="6"/>
        <v>1318</v>
      </c>
      <c r="X13" s="188">
        <f t="shared" si="6"/>
        <v>657</v>
      </c>
      <c r="Y13" s="188">
        <f t="shared" si="6"/>
        <v>296</v>
      </c>
      <c r="Z13" s="188">
        <f t="shared" si="6"/>
        <v>121</v>
      </c>
      <c r="AA13" s="188">
        <f t="shared" si="6"/>
        <v>116</v>
      </c>
      <c r="AB13" s="188">
        <f t="shared" si="6"/>
        <v>301</v>
      </c>
      <c r="AC13" s="188">
        <f t="shared" si="6"/>
        <v>0</v>
      </c>
      <c r="AD13" s="188">
        <f t="shared" si="6"/>
        <v>0</v>
      </c>
      <c r="AE13" s="188">
        <f t="shared" si="6"/>
        <v>0</v>
      </c>
      <c r="AF13" s="188">
        <f>SUBTOTAL(9,AF9:AF12)</f>
        <v>0</v>
      </c>
      <c r="AG13" s="188">
        <f t="shared" ref="AG13:AT13" si="7">SUBTOTAL(9,AG8:AG12)</f>
        <v>267</v>
      </c>
      <c r="AH13" s="188">
        <f t="shared" si="7"/>
        <v>200</v>
      </c>
      <c r="AI13" s="188">
        <f t="shared" si="7"/>
        <v>161</v>
      </c>
      <c r="AJ13" s="188">
        <f t="shared" si="7"/>
        <v>306</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12524</v>
      </c>
      <c r="AZ13" s="188">
        <f>SUBTOTAL(9,AZ8:AZ12)</f>
        <v>2525</v>
      </c>
      <c r="BA13" s="188">
        <f>SUBTOTAL(9,BA8:BA12)</f>
        <v>2687</v>
      </c>
      <c r="BB13" s="188">
        <f>SUBTOTAL(9,BB8:BB12)</f>
        <v>12362</v>
      </c>
      <c r="BC13" s="188">
        <f>SUBTOTAL(9,BC8:BC12)</f>
        <v>652</v>
      </c>
      <c r="BD13" s="209">
        <f>IF(ISNUMBER(BA13/AZ13),BA13/AZ13," - ")</f>
        <v>1.0641584158415842</v>
      </c>
      <c r="BE13" s="210">
        <f>IF(ISNUMBER(BB13/BA13),BB13/BA13, " - ")</f>
        <v>4.6006698920729434</v>
      </c>
      <c r="BF13" s="210">
        <f>IF(ISNUMBER(BC13/BA13),BC13/BA13, " - ")</f>
        <v>0.24264979531075548</v>
      </c>
      <c r="BG13" s="211">
        <f>IF(ISNUMBER((AY13+AZ13)/BA13),(AY13+AZ13)/BA13," - ")</f>
        <v>5.6006698920729434</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888</v>
      </c>
      <c r="J15" s="187">
        <v>1129</v>
      </c>
      <c r="K15" s="187">
        <v>1035</v>
      </c>
      <c r="L15" s="187">
        <v>986</v>
      </c>
      <c r="M15" s="187">
        <v>159</v>
      </c>
      <c r="N15" s="187">
        <v>629</v>
      </c>
      <c r="O15" s="185">
        <v>32</v>
      </c>
      <c r="P15" s="187">
        <v>99</v>
      </c>
      <c r="Q15" s="187">
        <v>127</v>
      </c>
      <c r="R15" s="187">
        <v>216</v>
      </c>
      <c r="S15" s="187">
        <v>608</v>
      </c>
      <c r="T15" s="187">
        <v>1435</v>
      </c>
      <c r="U15" s="187">
        <v>1453</v>
      </c>
      <c r="V15" s="187">
        <v>594</v>
      </c>
      <c r="W15" s="187">
        <v>230</v>
      </c>
      <c r="X15" s="193">
        <v>964</v>
      </c>
      <c r="Y15" s="206">
        <v>0</v>
      </c>
      <c r="Z15" s="187">
        <v>0</v>
      </c>
      <c r="AA15" s="187">
        <v>0</v>
      </c>
      <c r="AB15" s="187">
        <v>0</v>
      </c>
      <c r="AC15" s="187">
        <v>0</v>
      </c>
      <c r="AD15" s="187">
        <v>65</v>
      </c>
      <c r="AE15" s="187">
        <v>65</v>
      </c>
      <c r="AF15" s="193">
        <v>0</v>
      </c>
      <c r="AG15" s="206">
        <v>0</v>
      </c>
      <c r="AH15" s="187">
        <v>0</v>
      </c>
      <c r="AI15" s="187">
        <v>0</v>
      </c>
      <c r="AJ15" s="207">
        <v>0</v>
      </c>
      <c r="AK15" s="186">
        <v>0</v>
      </c>
      <c r="AL15" s="187">
        <v>97</v>
      </c>
      <c r="AM15" s="187">
        <v>97</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608</v>
      </c>
      <c r="AZ15" s="130">
        <f t="shared" si="9"/>
        <v>1435</v>
      </c>
      <c r="BA15" s="130">
        <f t="shared" si="9"/>
        <v>1453</v>
      </c>
      <c r="BB15" s="130">
        <f t="shared" si="9"/>
        <v>594</v>
      </c>
      <c r="BC15" s="126">
        <f>IF(ISNUMBER(W15),W15," - ")</f>
        <v>230</v>
      </c>
      <c r="BD15" s="127">
        <f>IF(ISNUMBER(BA15/AZ15),BA15/AZ15," - ")</f>
        <v>1.0125435540069687</v>
      </c>
      <c r="BE15" s="128">
        <f>IF(ISNUMBER(BB15/BA15),BB15/BA15, " - ")</f>
        <v>0.4088093599449415</v>
      </c>
      <c r="BF15" s="128">
        <f>IF(ISNUMBER(BC15/BA15),BC15/BA15, " - ")</f>
        <v>0.15829318651066759</v>
      </c>
      <c r="BG15" s="200">
        <f t="shared" ref="BG15:BG16" si="10">IF(ISNUMBER((AY15+AZ15)/BA15),(AY15+AZ15)/BA15," - ")</f>
        <v>1.4060564349621474</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215</v>
      </c>
      <c r="J17" s="187">
        <v>161</v>
      </c>
      <c r="K17" s="187">
        <v>171</v>
      </c>
      <c r="L17" s="187">
        <v>205</v>
      </c>
      <c r="M17" s="187">
        <v>17</v>
      </c>
      <c r="N17" s="187">
        <v>89</v>
      </c>
      <c r="O17" s="187">
        <v>4</v>
      </c>
      <c r="P17" s="187">
        <v>3</v>
      </c>
      <c r="Q17" s="187">
        <v>4</v>
      </c>
      <c r="R17" s="187">
        <v>5</v>
      </c>
      <c r="S17" s="187">
        <v>120</v>
      </c>
      <c r="T17" s="187">
        <v>177</v>
      </c>
      <c r="U17" s="187">
        <v>136</v>
      </c>
      <c r="V17" s="187">
        <v>161</v>
      </c>
      <c r="W17" s="187">
        <v>7</v>
      </c>
      <c r="X17" s="193">
        <v>61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120</v>
      </c>
      <c r="AZ17" s="130">
        <f t="shared" si="14"/>
        <v>177</v>
      </c>
      <c r="BA17" s="130">
        <f t="shared" si="14"/>
        <v>136</v>
      </c>
      <c r="BB17" s="130">
        <f t="shared" si="14"/>
        <v>161</v>
      </c>
      <c r="BC17" s="126">
        <f>IF(ISNUMBER(W17),W17," - ")</f>
        <v>7</v>
      </c>
      <c r="BD17" s="127">
        <f>IF(ISNUMBER(BA17/AZ17),BA17/AZ17," - ")</f>
        <v>0.76836158192090398</v>
      </c>
      <c r="BE17" s="128">
        <f>IF(ISNUMBER(BB17/BA17),BB17/BA17, " - ")</f>
        <v>1.1838235294117647</v>
      </c>
      <c r="BF17" s="128">
        <f>IF(ISNUMBER(BC17/BA17),BC17/BA17, " - ")</f>
        <v>5.1470588235294115E-2</v>
      </c>
      <c r="BG17" s="200">
        <f>IF(ISNUMBER((AY17+AZ17)/BA17),(AY17+AZ17)/BA17," - ")</f>
        <v>2.1838235294117645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1103</v>
      </c>
      <c r="J18" s="188">
        <f t="shared" si="15"/>
        <v>1290</v>
      </c>
      <c r="K18" s="188">
        <f t="shared" si="15"/>
        <v>1206</v>
      </c>
      <c r="L18" s="188">
        <f t="shared" si="15"/>
        <v>1191</v>
      </c>
      <c r="M18" s="188">
        <f t="shared" si="15"/>
        <v>176</v>
      </c>
      <c r="N18" s="188">
        <f t="shared" si="15"/>
        <v>718</v>
      </c>
      <c r="O18" s="188">
        <f t="shared" si="15"/>
        <v>36</v>
      </c>
      <c r="P18" s="188">
        <f t="shared" si="15"/>
        <v>102</v>
      </c>
      <c r="Q18" s="188">
        <f t="shared" si="15"/>
        <v>131</v>
      </c>
      <c r="R18" s="188">
        <f t="shared" si="15"/>
        <v>221</v>
      </c>
      <c r="S18" s="188">
        <f t="shared" si="15"/>
        <v>728</v>
      </c>
      <c r="T18" s="188">
        <f t="shared" si="15"/>
        <v>1612</v>
      </c>
      <c r="U18" s="188">
        <f t="shared" si="15"/>
        <v>1589</v>
      </c>
      <c r="V18" s="188">
        <f t="shared" si="15"/>
        <v>755</v>
      </c>
      <c r="W18" s="188">
        <f t="shared" si="15"/>
        <v>237</v>
      </c>
      <c r="X18" s="188">
        <f t="shared" si="15"/>
        <v>1025</v>
      </c>
      <c r="Y18" s="188">
        <f t="shared" si="15"/>
        <v>0</v>
      </c>
      <c r="Z18" s="188">
        <f t="shared" si="15"/>
        <v>0</v>
      </c>
      <c r="AA18" s="188">
        <f t="shared" si="15"/>
        <v>0</v>
      </c>
      <c r="AB18" s="188">
        <f t="shared" si="15"/>
        <v>0</v>
      </c>
      <c r="AC18" s="188">
        <f t="shared" si="15"/>
        <v>0</v>
      </c>
      <c r="AD18" s="188">
        <f t="shared" si="15"/>
        <v>65</v>
      </c>
      <c r="AE18" s="188">
        <f t="shared" si="15"/>
        <v>65</v>
      </c>
      <c r="AF18" s="188">
        <f t="shared" si="15"/>
        <v>0</v>
      </c>
      <c r="AG18" s="188">
        <f t="shared" si="15"/>
        <v>0</v>
      </c>
      <c r="AH18" s="188">
        <f t="shared" si="15"/>
        <v>0</v>
      </c>
      <c r="AI18" s="188">
        <f t="shared" si="15"/>
        <v>0</v>
      </c>
      <c r="AJ18" s="188">
        <f t="shared" si="15"/>
        <v>0</v>
      </c>
      <c r="AK18" s="188">
        <f t="shared" si="15"/>
        <v>0</v>
      </c>
      <c r="AL18" s="188">
        <f t="shared" si="15"/>
        <v>97</v>
      </c>
      <c r="AM18" s="188">
        <f t="shared" si="15"/>
        <v>97</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728</v>
      </c>
      <c r="AZ18" s="188">
        <f>SUBTOTAL(9,AZ14:AZ17)</f>
        <v>1612</v>
      </c>
      <c r="BA18" s="188">
        <f>SUBTOTAL(9,BA14:BA17)</f>
        <v>1589</v>
      </c>
      <c r="BB18" s="188">
        <f>SUBTOTAL(9,BB14:BB17)</f>
        <v>755</v>
      </c>
      <c r="BC18" s="188">
        <f>SUBTOTAL(9,BC14:BC17)</f>
        <v>237</v>
      </c>
      <c r="BD18" s="209">
        <f>IF(ISNUMBER(BA18/AZ18),BA18/AZ18," - ")</f>
        <v>0.98573200992555832</v>
      </c>
      <c r="BE18" s="210">
        <f>IF(ISNUMBER(BB18/BA18),BB18/BA18, " - ")</f>
        <v>0.47514159848961612</v>
      </c>
      <c r="BF18" s="210">
        <f>IF(ISNUMBER(BC18/BA18),BC18/BA18, " - ")</f>
        <v>0.14915040906230334</v>
      </c>
      <c r="BG18" s="211">
        <f>IF(ISNUMBER((AY18+AZ18)/BA18),(AY18+AZ18)/BA18," - ")</f>
        <v>1.4726242920075518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11922</v>
      </c>
      <c r="J19" s="135">
        <f t="shared" si="18"/>
        <v>3300</v>
      </c>
      <c r="K19" s="135">
        <f t="shared" si="18"/>
        <v>3095</v>
      </c>
      <c r="L19" s="135">
        <f t="shared" si="18"/>
        <v>13243</v>
      </c>
      <c r="M19" s="135">
        <f t="shared" si="18"/>
        <v>1104</v>
      </c>
      <c r="N19" s="135">
        <f t="shared" si="18"/>
        <v>1209</v>
      </c>
      <c r="O19" s="135">
        <f t="shared" si="18"/>
        <v>974</v>
      </c>
      <c r="P19" s="135">
        <f t="shared" si="18"/>
        <v>555</v>
      </c>
      <c r="Q19" s="135">
        <f t="shared" si="18"/>
        <v>942</v>
      </c>
      <c r="R19" s="135">
        <f t="shared" si="18"/>
        <v>7938</v>
      </c>
      <c r="S19" s="135">
        <f t="shared" si="18"/>
        <v>12985</v>
      </c>
      <c r="T19" s="135">
        <f t="shared" si="18"/>
        <v>3937</v>
      </c>
      <c r="U19" s="135">
        <f t="shared" si="18"/>
        <v>4115</v>
      </c>
      <c r="V19" s="135">
        <f t="shared" si="18"/>
        <v>12811</v>
      </c>
      <c r="W19" s="135">
        <f t="shared" si="18"/>
        <v>1555</v>
      </c>
      <c r="X19" s="135">
        <f t="shared" si="18"/>
        <v>1682</v>
      </c>
      <c r="Y19" s="135">
        <f t="shared" si="18"/>
        <v>296</v>
      </c>
      <c r="Z19" s="135">
        <f t="shared" si="18"/>
        <v>121</v>
      </c>
      <c r="AA19" s="135">
        <f t="shared" si="18"/>
        <v>116</v>
      </c>
      <c r="AB19" s="135">
        <f t="shared" si="18"/>
        <v>301</v>
      </c>
      <c r="AC19" s="135">
        <f t="shared" si="18"/>
        <v>0</v>
      </c>
      <c r="AD19" s="135">
        <f t="shared" si="18"/>
        <v>65</v>
      </c>
      <c r="AE19" s="135">
        <f t="shared" si="18"/>
        <v>65</v>
      </c>
      <c r="AF19" s="135">
        <f t="shared" si="18"/>
        <v>0</v>
      </c>
      <c r="AG19" s="135">
        <f t="shared" si="18"/>
        <v>267</v>
      </c>
      <c r="AH19" s="135">
        <f t="shared" si="18"/>
        <v>200</v>
      </c>
      <c r="AI19" s="135">
        <f t="shared" si="18"/>
        <v>161</v>
      </c>
      <c r="AJ19" s="135">
        <f t="shared" si="18"/>
        <v>306</v>
      </c>
      <c r="AK19" s="135">
        <f t="shared" si="18"/>
        <v>0</v>
      </c>
      <c r="AL19" s="135">
        <f t="shared" si="18"/>
        <v>97</v>
      </c>
      <c r="AM19" s="135">
        <f t="shared" si="18"/>
        <v>97</v>
      </c>
      <c r="AN19" s="214">
        <f t="shared" si="18"/>
        <v>0</v>
      </c>
      <c r="AO19" s="215">
        <v>11</v>
      </c>
      <c r="AP19" s="215">
        <v>11</v>
      </c>
      <c r="AQ19" s="215">
        <v>11</v>
      </c>
      <c r="AR19" s="215">
        <v>11</v>
      </c>
      <c r="AS19" s="157">
        <f t="shared" si="18"/>
        <v>0</v>
      </c>
      <c r="AT19" s="157">
        <f t="shared" si="18"/>
        <v>0</v>
      </c>
      <c r="AU19" s="215"/>
      <c r="AV19" s="216"/>
      <c r="AW19" s="215"/>
      <c r="AX19" s="216"/>
      <c r="AY19" s="134">
        <f>SUBTOTAL(9,AY9:AY18)</f>
        <v>13252</v>
      </c>
      <c r="AZ19" s="135">
        <f>SUBTOTAL(9,AZ9:AZ18)</f>
        <v>4137</v>
      </c>
      <c r="BA19" s="135">
        <f>SUBTOTAL(9,BA9:BA18)</f>
        <v>4276</v>
      </c>
      <c r="BB19" s="135">
        <f>SUBTOTAL(9,BB9:BB18)</f>
        <v>13117</v>
      </c>
      <c r="BC19" s="136">
        <f>SUBTOTAL(9,BC9:BC18)</f>
        <v>889</v>
      </c>
      <c r="BD19" s="217">
        <f>IF(ISNUMBER(BA19/AZ19),BA19/AZ19," - ")</f>
        <v>1.0335992264926275</v>
      </c>
      <c r="BE19" s="214">
        <f>IF(ISNUMBER(BB19/BA19),BB19/BA19, " - ")</f>
        <v>3.0675865294667912</v>
      </c>
      <c r="BF19" s="214">
        <f>IF(ISNUMBER(BC19/BA19),BC19/BA19, " - ")</f>
        <v>0.20790458372310572</v>
      </c>
      <c r="BG19" s="136">
        <f>IF(ISNUMBER((AY19+AZ19)/BA19),(AY19+AZ19)/BA19," - ")</f>
        <v>4.0666510757717491</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tB4yuWbwAriuPBaUEoV+/LR69+fM/OZZxEBu1ROkovODXtDyeto3OkRFhAbADDLsSd0E8uDp/NUrNl6/GUEdg==" saltValue="NNiJ/wMUny6wcaz+RmQJ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a8ElgxtzOP0X2KmW8qy8S7bevZn25afufErcxdQfsxzZdYbw8j1yJm7rDsEOJST46b2PglEtMFxFTI6/V+Cqw==" saltValue="uV2Tbe9XtX77ecL8Q3kQ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CADIZ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121</v>
      </c>
      <c r="O9" s="503"/>
      <c r="P9" s="503"/>
      <c r="Q9" s="501">
        <f>IF(ISNUMBER(Datos!P9),Datos!P9,0)</f>
        <v>452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805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301</v>
      </c>
      <c r="AI9" s="503" t="str">
        <f>IF(ISNUMBER(Datos!CD9),Datos!CD9,"-")</f>
        <v>-</v>
      </c>
      <c r="AJ9" s="503" t="str">
        <f>IF(ISNUMBER(Datos!EN9),Datos!EN9," - ")</f>
        <v xml:space="preserve"> - </v>
      </c>
      <c r="AK9" s="503"/>
      <c r="AL9" s="504"/>
      <c r="AM9" s="671">
        <f>IF(ISNUMBER(Datos!R9),Datos!R9," - ")</f>
        <v>7691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921</v>
      </c>
      <c r="BD9" s="619">
        <f>IF(ISNUMBER(Datos!N9),Datos!N9," - ")</f>
        <v>486</v>
      </c>
      <c r="BE9" s="619" t="str">
        <f>IF(ISNUMBER(Datos!BW9),Datos!BW9," - ")</f>
        <v xml:space="preserve"> - </v>
      </c>
      <c r="BF9" s="667" t="str">
        <f>IF(ISNUMBER(Datos!BX9),Datos!BX9," - ")</f>
        <v xml:space="preserve"> - </v>
      </c>
      <c r="BG9" s="668">
        <f>IF(ISNUMBER(IF(J_V="SI",Datos!K9/Datos!J9,(Datos!K9+Datos!AA9)/(Datos!J9+Datos!Z9))),IF(J_V="SI",Datos!K9/Datos!J9,(Datos!K9+Datos!AA9)/(Datos!J9+Datos!Z9))," - ")</f>
        <v>0.9401140684410646</v>
      </c>
      <c r="BH9" s="669">
        <f>IF(ISNUMBER(((IF(J_V="SI",Datos!L9/Datos!K9,(Datos!L9+Datos!AB9)/(Datos!K9+Datos!AA9)))*11)/factor_trimestre),((IF(J_V="SI",Datos!L9/Datos!K9,(Datos!L9+Datos!AB9)/(Datos!K9+Datos!AA9)))*11)/factor_trimestre," - ")</f>
        <v>18.656723963599593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-4.3883639980109398E-2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52</v>
      </c>
      <c r="G10" s="497">
        <f>IF(ISNUMBER(Datos!I10),Datos!I10," - ")</f>
        <v>52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27</v>
      </c>
      <c r="AC10" s="501">
        <f>IF(ISNUMBER(Datos!Q10),Datos!Q10," - ")</f>
        <v>6</v>
      </c>
      <c r="AD10" s="503"/>
      <c r="AE10" s="516"/>
      <c r="AF10" s="505">
        <f>IF(ISNUMBER(Datos!L10),Datos!L10,"-")</f>
        <v>52</v>
      </c>
      <c r="AG10" s="503"/>
      <c r="AH10" s="503"/>
      <c r="AI10" s="503"/>
      <c r="AJ10" s="503"/>
      <c r="AK10" s="503"/>
      <c r="AL10" s="504"/>
      <c r="AM10" s="671">
        <f>IF(ISNUMBER(Datos!R10),Datos!R10," - ")</f>
        <v>26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5</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5.7777777777777777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-0.16129032258064516</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52</v>
      </c>
      <c r="G13" s="1044">
        <f t="shared" si="0"/>
        <v>52</v>
      </c>
      <c r="H13" s="1045">
        <f t="shared" si="0"/>
        <v>0</v>
      </c>
      <c r="I13" s="1044">
        <f t="shared" si="0"/>
        <v>0</v>
      </c>
      <c r="J13" s="1013">
        <f t="shared" si="0"/>
        <v>0</v>
      </c>
      <c r="K13" s="1013">
        <f t="shared" si="0"/>
        <v>0</v>
      </c>
      <c r="L13" s="1045">
        <f t="shared" si="0"/>
        <v>0</v>
      </c>
      <c r="M13" s="1045">
        <f t="shared" si="0"/>
        <v>0</v>
      </c>
      <c r="N13" s="1045">
        <f t="shared" si="0"/>
        <v>121</v>
      </c>
      <c r="O13" s="1046">
        <f t="shared" si="0"/>
        <v>0</v>
      </c>
      <c r="P13" s="1046">
        <f t="shared" si="0"/>
        <v>0</v>
      </c>
      <c r="Q13" s="1045">
        <f t="shared" si="0"/>
        <v>453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27</v>
      </c>
      <c r="AC13" s="1045">
        <f t="shared" si="1"/>
        <v>811</v>
      </c>
      <c r="AD13" s="1045">
        <f t="shared" si="1"/>
        <v>0</v>
      </c>
      <c r="AE13" s="1045">
        <f t="shared" si="1"/>
        <v>0</v>
      </c>
      <c r="AF13" s="1045">
        <f t="shared" si="1"/>
        <v>52</v>
      </c>
      <c r="AG13" s="1045">
        <f t="shared" si="1"/>
        <v>0</v>
      </c>
      <c r="AH13" s="1045">
        <f t="shared" si="1"/>
        <v>301</v>
      </c>
      <c r="AI13" s="1045">
        <f t="shared" si="1"/>
        <v>0</v>
      </c>
      <c r="AJ13" s="1045">
        <f t="shared" si="1"/>
        <v>0</v>
      </c>
      <c r="AK13" s="1045">
        <f t="shared" si="1"/>
        <v>0</v>
      </c>
      <c r="AL13" s="1045">
        <f t="shared" si="1"/>
        <v>0</v>
      </c>
      <c r="AM13" s="1045">
        <f t="shared" si="1"/>
        <v>7717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928</v>
      </c>
      <c r="BD13" s="1045">
        <f t="shared" si="1"/>
        <v>491</v>
      </c>
      <c r="BE13" s="1045">
        <f t="shared" si="1"/>
        <v>0</v>
      </c>
      <c r="BF13" s="1045">
        <f t="shared" si="1"/>
        <v>0</v>
      </c>
      <c r="BG13" s="1045">
        <f>IF(ISNUMBER(Datos!K13/Datos!J13),Datos!K13/Datos!J13," - ")</f>
        <v>0.93980099502487557</v>
      </c>
      <c r="BH13" s="1049">
        <f>IF(ISNUMBER(((Datos!L13/Datos!K13)*11)/factor_trimestre),((Datos!L13/Datos!K13)*11)/factor_trimestre," - ")</f>
        <v>19.140285865537319</v>
      </c>
      <c r="BI13" s="1045">
        <f>IF(ISNUMBER('Resol  Asuntos'!D13/NºAsuntos!G13),'Resol  Asuntos'!D13/NºAsuntos!G13," - ")</f>
        <v>0.46284289276807983</v>
      </c>
      <c r="BJ13" s="1045" t="str">
        <f>IF(ISNUMBER(Datos!CI13/Datos!CJ13),Datos!CI13/Datos!CJ13," - ")</f>
        <v xml:space="preserve"> - </v>
      </c>
      <c r="BK13" s="1045">
        <f>SUBTOTAL(9,BK8:BK12)</f>
        <v>0</v>
      </c>
      <c r="BL13" s="1045">
        <f>IF(ISNUMBER((I13-AB13+L13)/(F13)),(I13-AB13+L13)/(F13)," - ")</f>
        <v>-0.51923076923076927</v>
      </c>
      <c r="BM13" s="1050">
        <f>SUBTOTAL(9,BM9:BM12)</f>
        <v>-0.20517396256075454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892</v>
      </c>
      <c r="G15" s="650">
        <f>IF(ISNUMBER(IF(D_I="SI",Datos!I15,Datos!I15+Datos!AC15)),IF(D_I="SI",Datos!I15,Datos!I15+Datos!AC15)," - ")</f>
        <v>888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1035</v>
      </c>
      <c r="AC15" s="230">
        <f>IF(ISNUMBER(Datos!Q15),Datos!Q15," - ")</f>
        <v>127</v>
      </c>
      <c r="AD15" s="343"/>
      <c r="AE15" s="515"/>
      <c r="AF15" s="648">
        <f>IF(ISNUMBER(IF(D_I="SI",Datos!L15,Datos!L15+Datos!AF15)),IF(D_I="SI",Datos!L15,Datos!L15+Datos!AF15)," - ")</f>
        <v>986</v>
      </c>
      <c r="AG15" s="343"/>
      <c r="AH15" s="343"/>
      <c r="AI15" s="343"/>
      <c r="AJ15" s="503"/>
      <c r="AK15" s="343"/>
      <c r="AL15" s="499"/>
      <c r="AM15" s="344">
        <f>IF(ISNUMBER(Datos!R15),Datos!R15," - ")</f>
        <v>216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159</v>
      </c>
      <c r="BD15" s="233">
        <f>IF(ISNUMBER(Datos!N15),Datos!N15," - ")</f>
        <v>629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0.91674047829937999</v>
      </c>
      <c r="BH15" s="669">
        <f>IF(ISNUMBER(((IF(D_I="SI",Datos!L15/Datos!K15,(Datos!L15+Datos!AF15)/(Datos!K15+Datos!AE15)))*11)/factor_trimestre),((IF(D_I="SI",Datos!L15/Datos!K15,(Datos!L15+Datos!AF15)/(Datos!K15+Datos!AE15)))*11)/factor_trimestre," - ")</f>
        <v>2.8579710144927537</v>
      </c>
      <c r="BI15" s="247">
        <f>IF(ISNUMBER('Resol  Asuntos'!D15/NºAsuntos!G15),'Resol  Asuntos'!D15/NºAsuntos!G15," - ")</f>
        <v>0.15362318840579711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215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171</v>
      </c>
      <c r="AC17" s="501">
        <f>IF(ISNUMBER(Datos!Q17),Datos!Q17," - ")</f>
        <v>4</v>
      </c>
      <c r="AD17" s="503"/>
      <c r="AE17" s="515"/>
      <c r="AF17" s="505">
        <f>IF(ISNUMBER(Datos!L17),Datos!L17,"-")</f>
        <v>205</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89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1.0621118012422359</v>
      </c>
      <c r="BH17" s="669">
        <f>IF(ISNUMBER(((IF(D_I="SI",Datos!L17/Datos!K17,(Datos!L17+Datos!AF17)/(Datos!K17+Datos!AE17)))*11)/factor_trimestre),((IF(D_I="SI",Datos!L17/Datos!K17,(Datos!L17+Datos!AF17)/(Datos!K17+Datos!AE17)))*11)/factor_trimestre," - ")</f>
        <v>3.596491228070176</v>
      </c>
      <c r="BI17" s="668">
        <f>IF(ISNUMBER('Resol  Asuntos'!D17/NºAsuntos!G17),'Resol  Asuntos'!D17/NºAsuntos!G17," - ")</f>
        <v>9.9415204678362568E-2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892</v>
      </c>
      <c r="G18" s="1044">
        <f>SUBTOTAL(9,G15:G17)</f>
        <v>1103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1206</v>
      </c>
      <c r="AC18" s="1045">
        <f t="shared" si="4"/>
        <v>131</v>
      </c>
      <c r="AD18" s="1045">
        <f t="shared" si="4"/>
        <v>0</v>
      </c>
      <c r="AE18" s="1045">
        <f t="shared" si="4"/>
        <v>0</v>
      </c>
      <c r="AF18" s="1045">
        <f t="shared" si="4"/>
        <v>1191</v>
      </c>
      <c r="AG18" s="1045">
        <f t="shared" si="4"/>
        <v>0</v>
      </c>
      <c r="AH18" s="1045">
        <f t="shared" si="4"/>
        <v>0</v>
      </c>
      <c r="AI18" s="1045">
        <f t="shared" si="4"/>
        <v>0</v>
      </c>
      <c r="AJ18" s="1045">
        <f t="shared" si="4"/>
        <v>0</v>
      </c>
      <c r="AK18" s="1045">
        <f t="shared" si="4"/>
        <v>0</v>
      </c>
      <c r="AL18" s="1045">
        <f t="shared" si="4"/>
        <v>0</v>
      </c>
      <c r="AM18" s="1045">
        <f t="shared" si="4"/>
        <v>221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176</v>
      </c>
      <c r="BD18" s="1045">
        <f t="shared" si="4"/>
        <v>718</v>
      </c>
      <c r="BE18" s="1045">
        <f t="shared" si="4"/>
        <v>0</v>
      </c>
      <c r="BF18" s="1045">
        <f t="shared" si="4"/>
        <v>0</v>
      </c>
      <c r="BG18" s="1045">
        <f>IF(ISNUMBER(Datos!K18/Datos!J18),Datos!K18/Datos!J18," - ")</f>
        <v>0.93488372093023253</v>
      </c>
      <c r="BH18" s="1049">
        <f>IF(ISNUMBER(((Datos!L18/Datos!K18)*11)/factor_trimestre),((Datos!L18/Datos!K18)*11)/factor_trimestre," - ")</f>
        <v>2.9626865671641789</v>
      </c>
      <c r="BI18" s="1045">
        <f>SUBTOTAL(9,BI15:BI17)</f>
        <v>0.25303839308415965</v>
      </c>
      <c r="BJ18" s="1045">
        <f>SUBTOTAL(9,BJ15:BJ17)</f>
        <v>0</v>
      </c>
      <c r="BK18" s="1045">
        <f>SUBTOTAL(9,BK15:BK17)</f>
        <v>0</v>
      </c>
      <c r="BL18" s="1045">
        <f>IF(ISNUMBER((I18-AB18+L18)/(F18)),(I18-AB18+L18)/(F18)," - ")</f>
        <v>-1.352017937219731</v>
      </c>
      <c r="BM18" s="1051">
        <f>IF(ISNUMBER((Datos!P18-Datos!Q18)/(Datos!R18-Datos!P18+Datos!Q18)),(Datos!P18-Datos!Q18)/(Datos!R18-Datos!P18+Datos!Q18)," - ")</f>
        <v>-0.11600000000000001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944</v>
      </c>
      <c r="G19" s="966">
        <f t="shared" si="6"/>
        <v>1155</v>
      </c>
      <c r="H19" s="968">
        <f t="shared" si="6"/>
        <v>0</v>
      </c>
      <c r="I19" s="966">
        <f t="shared" si="6"/>
        <v>0</v>
      </c>
      <c r="J19" s="968">
        <f t="shared" si="6"/>
        <v>0</v>
      </c>
      <c r="K19" s="968">
        <f t="shared" si="6"/>
        <v>0</v>
      </c>
      <c r="L19" s="1027">
        <f t="shared" si="6"/>
        <v>0</v>
      </c>
      <c r="M19" s="1027">
        <f t="shared" si="6"/>
        <v>0</v>
      </c>
      <c r="N19" s="1027">
        <f t="shared" si="6"/>
        <v>121</v>
      </c>
      <c r="O19" s="1027">
        <f t="shared" si="6"/>
        <v>0</v>
      </c>
      <c r="P19" s="1027">
        <f t="shared" si="6"/>
        <v>0</v>
      </c>
      <c r="Q19" s="968">
        <f t="shared" si="6"/>
        <v>555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1233</v>
      </c>
      <c r="AC19" s="967">
        <f t="shared" si="7"/>
        <v>942</v>
      </c>
      <c r="AD19" s="967">
        <f t="shared" si="7"/>
        <v>0</v>
      </c>
      <c r="AE19" s="967">
        <f t="shared" si="7"/>
        <v>0</v>
      </c>
      <c r="AF19" s="974">
        <f t="shared" si="7"/>
        <v>1243</v>
      </c>
      <c r="AG19" s="974">
        <f t="shared" si="7"/>
        <v>0</v>
      </c>
      <c r="AH19" s="974">
        <f t="shared" si="7"/>
        <v>301</v>
      </c>
      <c r="AI19" s="974">
        <f t="shared" si="7"/>
        <v>0</v>
      </c>
      <c r="AJ19" s="967">
        <f t="shared" si="7"/>
        <v>0</v>
      </c>
      <c r="AK19" s="974">
        <f t="shared" si="7"/>
        <v>0</v>
      </c>
      <c r="AL19" s="974">
        <f t="shared" si="7"/>
        <v>0</v>
      </c>
      <c r="AM19" s="974">
        <f t="shared" si="7"/>
        <v>7938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1104</v>
      </c>
      <c r="BD19" s="966">
        <f t="shared" si="7"/>
        <v>1209</v>
      </c>
      <c r="BE19" s="966">
        <f t="shared" si="7"/>
        <v>0</v>
      </c>
      <c r="BF19" s="976">
        <f t="shared" si="7"/>
        <v>0</v>
      </c>
      <c r="BG19" s="1061">
        <f>IF(ISNUMBER(Datos!K19/Datos!J19),Datos!K19/Datos!J19," - ")</f>
        <v>0.93787878787878787</v>
      </c>
      <c r="BH19" s="1061">
        <f>IF(ISNUMBER(((Datos!L19/Datos!K19)*11)/factor_trimestre),((Datos!L19/Datos!K19)*11)/factor_trimestre," - ")</f>
        <v>12.836510500807755</v>
      </c>
      <c r="BI19" s="959">
        <f>IF(ISNUMBER(Datos!J19/Datos!I19),Datos!J19/Datos!I19," - ")</f>
        <v>0.27679919476597886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-1.3061440677966101</v>
      </c>
      <c r="BM19" s="1035">
        <f>IF(ISNUMBER((Datos!P19-Datos!Q19+R19)/(Datos!R19-Datos!P19+Datos!Q19-R19)),(Datos!P19-Datos!Q19+R19)/(Datos!R19-Datos!P19+Datos!Q19-R19)," - ")</f>
        <v>-4.6486486486486484E-2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462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2.8284271247461903</v>
      </c>
      <c r="F21" s="599">
        <f>IF(ISNUMBER(STDEV(F8:F18)),STDEV(F8:F18),"-")</f>
        <v>484.97422611928562</v>
      </c>
      <c r="G21" s="600">
        <f>IF(ISNUMBER(STDEV(G8:G18)),STDEV(G8:G18),"-")</f>
        <v>497.38465999666698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578.81966103441925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436.68661532041489</v>
      </c>
      <c r="BD21" s="599"/>
      <c r="BE21" s="599">
        <f>IF(ISNUMBER(STDEV(BE8:BE18)),STDEV(BE8:BE18),"-")</f>
        <v>0</v>
      </c>
      <c r="BF21" s="604">
        <f>IF(ISNUMBER(STDEV(BF8:BF18)),STDEV(BF8:BF18),"-")</f>
        <v>0</v>
      </c>
      <c r="BG21" s="914">
        <f>IF(ISNUMBER(STDEV(BG8:BG18)),STDEV(BG8:BG18),"-")</f>
        <v>5.5034082840130359E-2</v>
      </c>
      <c r="BH21" s="918">
        <f>IF(ISNUMBER(STDEV(BH8:BH18)),STDEV(BH8:BH18),"-")</f>
        <v>7.869722313043944</v>
      </c>
      <c r="BI21" s="253">
        <f>IF(ISNUMBER(STDEV(BI8:BI18)),STDEV(BI8:BI18),"-")</f>
        <v>0.16024367136768927</v>
      </c>
      <c r="BJ21" s="234" t="str">
        <f>IF(ISNUMBER(BL21/BM21),BL21/BM21," - ")</f>
        <v xml:space="preserve"> - </v>
      </c>
      <c r="BK21" s="626"/>
      <c r="BL21" s="607">
        <f>IF(ISNUMBER(STDEV(BL8:BL18)),STDEV(BL8:BL18),"-")</f>
        <v>0.58886945377013522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jQOtx3dWqElIylHhgaVKHrEEBPptIT4IEsSji291J4UsVDOl1bs6LuzHA5ZlP4Jg9XD0ce78vnZwg4C+jz+uw==" saltValue="KOMrHIMcZzpr9KA+parU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CADIZ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452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805</v>
      </c>
      <c r="AA9" s="505" t="str">
        <f>IF(ISNUMBER(IF(J_V="SI",Datos!L9,Datos!L9+Datos!AB9)-IF(Monitorios="SI",Datos!CD9,0)),
                          IF(J_V="SI",Datos!L9,Datos!L9+Datos!AB9)-IF(Monitorios="SI",Datos!CD9,0),
                          " - ")</f>
        <v xml:space="preserve"> - </v>
      </c>
      <c r="AB9" s="503"/>
      <c r="AC9" s="503"/>
      <c r="AD9" s="516"/>
      <c r="AE9" s="516">
        <f>IF(ISNUMBER(Datos!R9),Datos!R9," - ")</f>
        <v>7691</v>
      </c>
      <c r="AF9" s="619" t="str">
        <f>IF(ISNUMBER(Datos!BV9),Datos!BV9," - ")</f>
        <v xml:space="preserve"> - </v>
      </c>
      <c r="AG9" s="506" t="str">
        <f>IF(ISNUMBER(Datos!DV9),Datos!DV9," - ")</f>
        <v xml:space="preserve"> - </v>
      </c>
      <c r="AH9" s="507"/>
      <c r="AI9" s="508"/>
      <c r="AJ9" s="506">
        <f>IF(ISNUMBER(Datos!M9),Datos!M9," - ")</f>
        <v>921</v>
      </c>
      <c r="AK9" s="619">
        <f>IF(ISNUMBER(Datos!N9),Datos!N9," - ")</f>
        <v>486</v>
      </c>
      <c r="AL9" s="619" t="str">
        <f>IF(ISNUMBER(Datos!BW9),Datos!BW9," - ")</f>
        <v xml:space="preserve"> - </v>
      </c>
      <c r="AM9" s="667" t="str">
        <f>IF(ISNUMBER(Datos!BX9),Datos!BX9," - ")</f>
        <v xml:space="preserve"> - </v>
      </c>
      <c r="AN9" s="668"/>
      <c r="AO9" s="669">
        <f>IF(ISNUMBER(((NºAsuntos!I9/NºAsuntos!G9)*11)/factor_trimestre),((NºAsuntos!I9/NºAsuntos!G9)*11)/factor_trimestre," - ")</f>
        <v>18.656723963599593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-4.3883639980109398E-2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52</v>
      </c>
      <c r="G10" s="506">
        <f>IF(ISNUMBER(Datos!I10),Datos!I10," - ")</f>
        <v>52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27</v>
      </c>
      <c r="Z10" s="703">
        <f>IF(ISNUMBER(Datos!Q10),Datos!Q10," - ")</f>
        <v>6</v>
      </c>
      <c r="AA10" s="505">
        <f>IF(ISNUMBER(Datos!L10),Datos!L10,"-")</f>
        <v>52</v>
      </c>
      <c r="AB10" s="503"/>
      <c r="AC10" s="503"/>
      <c r="AD10" s="516"/>
      <c r="AE10" s="516">
        <f>IF(ISNUMBER(Datos!R10),Datos!R10," - ")</f>
        <v>26</v>
      </c>
      <c r="AF10" s="619" t="str">
        <f>IF(ISNUMBER(Datos!BV10),Datos!BV10," - ")</f>
        <v xml:space="preserve"> - </v>
      </c>
      <c r="AG10" s="506" t="str">
        <f>IF(ISNUMBER(Datos!DV10),Datos!DV10," - ")</f>
        <v xml:space="preserve"> - </v>
      </c>
      <c r="AH10" s="507"/>
      <c r="AI10" s="508"/>
      <c r="AJ10" s="506">
        <f>IF(ISNUMBER(Datos!M10),Datos!M10," - ")</f>
        <v>7</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5.7777777777777777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-0.16129032258064516</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52</v>
      </c>
      <c r="G13" s="1044">
        <f>SUBTOTAL(9,G8:G12)</f>
        <v>52</v>
      </c>
      <c r="H13" s="1054"/>
      <c r="I13" s="1044">
        <f t="shared" ref="I13:N13" si="0">SUBTOTAL(9,I8:I12)</f>
        <v>0</v>
      </c>
      <c r="J13" s="1013">
        <f t="shared" si="0"/>
        <v>0</v>
      </c>
      <c r="K13" s="1054">
        <f t="shared" si="0"/>
        <v>0</v>
      </c>
      <c r="L13" s="1054">
        <f t="shared" si="0"/>
        <v>0</v>
      </c>
      <c r="M13" s="1054">
        <f t="shared" si="0"/>
        <v>0</v>
      </c>
      <c r="N13" s="1054">
        <f t="shared" si="0"/>
        <v>453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27</v>
      </c>
      <c r="Z13" s="1053">
        <f t="shared" si="2"/>
        <v>811</v>
      </c>
      <c r="AA13" s="1046">
        <f t="shared" si="2"/>
        <v>52</v>
      </c>
      <c r="AB13" s="1046">
        <f t="shared" si="2"/>
        <v>0</v>
      </c>
      <c r="AC13" s="1046">
        <f t="shared" si="2"/>
        <v>0</v>
      </c>
      <c r="AD13" s="1046">
        <f t="shared" si="2"/>
        <v>0</v>
      </c>
      <c r="AE13" s="1046">
        <f t="shared" si="2"/>
        <v>7717</v>
      </c>
      <c r="AF13" s="1054">
        <f t="shared" si="2"/>
        <v>0</v>
      </c>
      <c r="AG13" s="1054">
        <f t="shared" si="2"/>
        <v>0</v>
      </c>
      <c r="AH13" s="1054">
        <f t="shared" si="2"/>
        <v>0</v>
      </c>
      <c r="AI13" s="1054">
        <f t="shared" si="2"/>
        <v>0</v>
      </c>
      <c r="AJ13" s="1054">
        <f t="shared" si="2"/>
        <v>928</v>
      </c>
      <c r="AK13" s="1054">
        <f t="shared" si="2"/>
        <v>491</v>
      </c>
      <c r="AL13" s="1054">
        <f t="shared" si="2"/>
        <v>0</v>
      </c>
      <c r="AM13" s="1054">
        <f t="shared" si="2"/>
        <v>0</v>
      </c>
      <c r="AN13" s="1054">
        <f t="shared" si="2"/>
        <v>0</v>
      </c>
      <c r="AO13" s="1050">
        <f>IF(ISNUMBER(((NºAsuntos!I13/NºAsuntos!G13)*11)/factor_trimestre),((NºAsuntos!I13/NºAsuntos!G13)*11)/factor_trimestre," - ")</f>
        <v>18.483291770573569</v>
      </c>
      <c r="AP13" s="1056" t="str">
        <f>IF(ISNUMBER(Datos!CI13/Datos!CJ13),Datos!CI13/Datos!CJ13," - ")</f>
        <v xml:space="preserve"> - </v>
      </c>
      <c r="AQ13" s="1074">
        <f t="shared" ref="AQ13:AV13" si="3">SUBTOTAL(9,AQ9:AQ12)</f>
        <v>0</v>
      </c>
      <c r="AR13" s="1074">
        <f t="shared" si="3"/>
        <v>-0.20517396256075454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892</v>
      </c>
      <c r="G15" s="506">
        <f>IF(ISNUMBER(IF(D_I="SI",Datos!I15,Datos!I15+Datos!AC15)),IF(D_I="SI",Datos!I15,Datos!I15+Datos!AC15)," - ")</f>
        <v>888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1035</v>
      </c>
      <c r="Z15" s="703">
        <f>IF(ISNUMBER(Datos!Q15),Datos!Q15," - ")</f>
        <v>127</v>
      </c>
      <c r="AA15" s="505">
        <f>IF(ISNUMBER(IF(D_I="SI",Datos!L15,Datos!L15+Datos!AF15)),IF(D_I="SI",Datos!L15,Datos!L15+Datos!AF15)," - ")</f>
        <v>986</v>
      </c>
      <c r="AB15" s="503"/>
      <c r="AC15" s="503"/>
      <c r="AD15" s="516"/>
      <c r="AE15" s="516">
        <f>IF(ISNUMBER(Datos!R15),Datos!R15," - ")</f>
        <v>216</v>
      </c>
      <c r="AF15" s="619" t="str">
        <f>IF(ISNUMBER(Datos!BV15),Datos!BV15," - ")</f>
        <v xml:space="preserve"> - </v>
      </c>
      <c r="AG15" s="506"/>
      <c r="AH15" s="507"/>
      <c r="AI15" s="508"/>
      <c r="AJ15" s="506">
        <f>IF(ISNUMBER(Datos!M15),Datos!M15," - ")</f>
        <v>159</v>
      </c>
      <c r="AK15" s="619">
        <f>IF(ISNUMBER(Datos!N15),Datos!N15," - ")</f>
        <v>629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2.8579710144927537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215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171</v>
      </c>
      <c r="Z17" s="703">
        <f>IF(ISNUMBER(Datos!Q17),Datos!Q17," - ")</f>
        <v>4</v>
      </c>
      <c r="AA17" s="505">
        <f>IF(ISNUMBER(Datos!L17),Datos!L17,"-")</f>
        <v>205</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17</v>
      </c>
      <c r="AK17" s="619">
        <f>IF(ISNUMBER(Datos!N17),Datos!N17," - ")</f>
        <v>89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3.596491228070176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892</v>
      </c>
      <c r="G18" s="1044">
        <f>SUBTOTAL(9,G15:G17)</f>
        <v>1103</v>
      </c>
      <c r="H18" s="1078">
        <f>SUBTOTAL(9,H15:H17)</f>
        <v>0</v>
      </c>
      <c r="I18" s="1057">
        <f>SUBTOTAL(9,I15:I17)</f>
        <v>0</v>
      </c>
      <c r="J18" s="1013">
        <f>SUBTOTAL(9,J14:J17)</f>
        <v>0</v>
      </c>
      <c r="K18" s="1078">
        <f t="shared" ref="K18:S18" si="4">SUBTOTAL(9,K15:K17)</f>
        <v>0</v>
      </c>
      <c r="L18" s="1078">
        <f t="shared" si="4"/>
        <v>0</v>
      </c>
      <c r="M18" s="1078">
        <f t="shared" si="4"/>
        <v>0</v>
      </c>
      <c r="N18" s="1078">
        <f t="shared" si="4"/>
        <v>102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1206</v>
      </c>
      <c r="Z18" s="1078">
        <f t="shared" si="5"/>
        <v>131</v>
      </c>
      <c r="AA18" s="1078">
        <f t="shared" si="5"/>
        <v>1191</v>
      </c>
      <c r="AB18" s="1078">
        <f t="shared" si="5"/>
        <v>0</v>
      </c>
      <c r="AC18" s="1078">
        <f t="shared" si="5"/>
        <v>0</v>
      </c>
      <c r="AD18" s="1078">
        <f t="shared" si="5"/>
        <v>0</v>
      </c>
      <c r="AE18" s="1078">
        <f t="shared" si="5"/>
        <v>221</v>
      </c>
      <c r="AF18" s="1078">
        <f t="shared" si="5"/>
        <v>0</v>
      </c>
      <c r="AG18" s="1078">
        <f t="shared" si="5"/>
        <v>0</v>
      </c>
      <c r="AH18" s="1078">
        <f t="shared" si="5"/>
        <v>0</v>
      </c>
      <c r="AI18" s="1078">
        <f t="shared" si="5"/>
        <v>0</v>
      </c>
      <c r="AJ18" s="1078">
        <f t="shared" si="5"/>
        <v>176</v>
      </c>
      <c r="AK18" s="1078">
        <f t="shared" si="5"/>
        <v>718</v>
      </c>
      <c r="AL18" s="1078">
        <f t="shared" si="5"/>
        <v>0</v>
      </c>
      <c r="AM18" s="1078">
        <f t="shared" si="5"/>
        <v>0</v>
      </c>
      <c r="AN18" s="1078">
        <f t="shared" si="5"/>
        <v>0</v>
      </c>
      <c r="AO18" s="1080">
        <f>IF(ISNUMBER(((NºAsuntos!I18/NºAsuntos!G18)*11)/factor_trimestre),((NºAsuntos!I18/NºAsuntos!G18)*11)/factor_trimestre," - ")</f>
        <v>2.9626865671641789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944</v>
      </c>
      <c r="G19" s="966">
        <f t="shared" si="7"/>
        <v>1155</v>
      </c>
      <c r="H19" s="967">
        <f t="shared" si="7"/>
        <v>0</v>
      </c>
      <c r="I19" s="966">
        <f t="shared" si="7"/>
        <v>0</v>
      </c>
      <c r="J19" s="968">
        <f t="shared" si="7"/>
        <v>0</v>
      </c>
      <c r="K19" s="966">
        <f t="shared" si="7"/>
        <v>0</v>
      </c>
      <c r="L19" s="969">
        <f t="shared" si="7"/>
        <v>0</v>
      </c>
      <c r="M19" s="966">
        <f t="shared" si="7"/>
        <v>0</v>
      </c>
      <c r="N19" s="967">
        <f t="shared" si="7"/>
        <v>555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1233</v>
      </c>
      <c r="Z19" s="973">
        <f t="shared" si="8"/>
        <v>942</v>
      </c>
      <c r="AA19" s="974">
        <f t="shared" si="8"/>
        <v>1243</v>
      </c>
      <c r="AB19" s="974">
        <f t="shared" si="8"/>
        <v>0</v>
      </c>
      <c r="AC19" s="974">
        <f t="shared" si="8"/>
        <v>0</v>
      </c>
      <c r="AD19" s="975">
        <f t="shared" si="8"/>
        <v>0</v>
      </c>
      <c r="AE19" s="975">
        <f t="shared" si="8"/>
        <v>7938</v>
      </c>
      <c r="AF19" s="976">
        <f t="shared" si="8"/>
        <v>0</v>
      </c>
      <c r="AG19" s="977">
        <f t="shared" si="8"/>
        <v>0</v>
      </c>
      <c r="AH19" s="978">
        <f t="shared" si="8"/>
        <v>0</v>
      </c>
      <c r="AI19" s="976">
        <f t="shared" si="8"/>
        <v>0</v>
      </c>
      <c r="AJ19" s="966">
        <f t="shared" si="8"/>
        <v>1104</v>
      </c>
      <c r="AK19" s="966">
        <f t="shared" si="8"/>
        <v>1209</v>
      </c>
      <c r="AL19" s="966">
        <f t="shared" si="8"/>
        <v>0</v>
      </c>
      <c r="AM19" s="979">
        <f t="shared" si="8"/>
        <v>0</v>
      </c>
      <c r="AN19" s="969">
        <f>IF(ISNUMBER(Datos!K19/Datos!J19),Datos!K19/Datos!J19," - ")</f>
        <v>0.93787878787878787</v>
      </c>
      <c r="AO19" s="969">
        <f>IF(ISNUMBER(FIND("06",Criterios!A8,1)),(IF(ISNUMBER(((Datos!R19/Datos!Q19)*11)/factor_trimestre),((Datos!R19/Datos!Q19)*11)/factor_trimestre," - ")),(IF(ISNUMBER(((Datos!L19/Datos!K19)*11)/factor_trimestre),((Datos!L19/Datos!K19)*11)/factor_trimestre," - ")))</f>
        <v>12.836510500807755</v>
      </c>
      <c r="AP19" s="980" t="str">
        <f>IF(ISNUMBER(Datos!CI19/Datos!CJ19),Datos!CI19/Datos!CJ19," - ")</f>
        <v xml:space="preserve"> - </v>
      </c>
      <c r="AQ19" s="980">
        <f>IF(OR(ISNUMBER(FIND("01",Criterios!A8,1)),ISNUMBER(FIND("02",Criterios!A8,1)),ISNUMBER(FIND("03",Criterios!A8,1)),ISNUMBER(FIND("04",Criterios!A8,1))),(J19-Y19+K19)/(F19-K19),(I19-Y19+K19)/(F19-K19))</f>
        <v>-1.3061440677966101</v>
      </c>
      <c r="AR19" s="980">
        <f>IF(ISNUMBER((Datos!P19-Datos!Q19+O19)/(Datos!R19-Datos!P19+Datos!Q19-O19)),(Datos!P19-Datos!Q19+O19)/(Datos!R19-Datos!P19+Datos!Q19-O19)," - ")</f>
        <v>-4.6486486486486484E-2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462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484.97422611928562</v>
      </c>
      <c r="G21" s="600">
        <f>IF(ISNUMBER(STDEV(G8:G18)),STDEV(G8:G18),"-")</f>
        <v>497.38465999666698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436.68661532041489</v>
      </c>
      <c r="AK21" s="256"/>
      <c r="AL21" s="256">
        <f>IF(ISNUMBER(STDEV(AL8:AL18)),STDEV(AL8:AL18),"-")</f>
        <v>0</v>
      </c>
      <c r="AM21" s="258">
        <f>IF(ISNUMBER(STDEV(AM8:AM18)),STDEV(AM8:AM18),"-")</f>
        <v>0</v>
      </c>
      <c r="AN21" s="586">
        <f>IF(ISNUMBER(STDEV(AN8:AN18)),STDEV(AN8:AN18),"-")</f>
        <v>0</v>
      </c>
      <c r="AO21" s="587">
        <f>IF(ISNUMBER(STDEV(AO8:AO18)),STDEV(AO8:AO18),"-")</f>
        <v>7.7003554157685485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FKH7rKlB5tN8g2P4uLBHVcdd77m7oK/w7li9XFQc7AgetsyXeuAHVuGERlCSqTvFnZdrqAeZBfIPi0nEOgI+A==" saltValue="LKGJtiQVRB8TCmNcADKo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UnA4qa0DL7QOZ/PU96jugyML863Qmm8L6/mH5RSm9GX+HTgxdnkvkTBwTkkfZPpmTJZ3V+bVspmts+z5JRWeg==" saltValue="TZhZSdE6deoDhqUXDXt6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tpcf3hc6leSvQlu43Lg8ceWefYjB9ABMvybo5VbHt7cF3AozJA582L7AtIYJ2kaETBBVHxg2Q8IB9L7/WHkjg==" saltValue="PtWXx+oa63fhaohjXOF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CADIZ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0.46284289276807983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0.32727934810030729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T5YJLydUQXI+G17z61qsfRDGzOxsDIRmfFZA25mIlVfoHBvJS+qNRYtnAZpi+g2uybOhCHCtPF0qwASc4NFpQ==" saltValue="4cdxaMu6sdawrD5NzVvu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MLKHT00+A90CYAoSQuRiKAtAgxYzeu91o5HWFvpqiOiUh43V1C2L84rvPaZb6WapavpsUW+nuF3bK1k08hCog==" saltValue="226iXez0s8pXljO3lAnt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CADIZ</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11063</v>
      </c>
      <c r="D9" s="415">
        <f>IF(ISNUMBER(C9/Datos!BH9),C9/Datos!BH9," - ")</f>
        <v>1843.8333333333333</v>
      </c>
      <c r="E9" s="414">
        <f>IF(ISNUMBER(IF(J_V="SI",Datos!J9,Datos!J9+Datos!Z9)),IF(J_V="SI",Datos!J9,Datos!J9+Datos!Z9)," - ")</f>
        <v>2104</v>
      </c>
      <c r="F9" s="415">
        <f>IF(ISNUMBER(E9/B9),E9/B9," - ")</f>
        <v>350.66666666666669</v>
      </c>
      <c r="G9" s="414">
        <f>IF(ISNUMBER(IF(J_V="SI",Datos!K9,Datos!K9+Datos!AA9)),IF(J_V="SI",Datos!K9,Datos!K9+Datos!AA9)," - ")</f>
        <v>1978</v>
      </c>
      <c r="H9" s="415">
        <f>IF(ISNUMBER(G9/B9),G9/B9," - ")</f>
        <v>329.66666666666669</v>
      </c>
      <c r="I9" s="414">
        <f>IF(ISNUMBER(IF(J_V="SI",Datos!L9,Datos!L9+Datos!AB9)),IF(J_V="SI",Datos!L9,Datos!L9+Datos!AB9)," - ")</f>
        <v>12301</v>
      </c>
      <c r="J9" s="415">
        <f>IF(ISNUMBER(I9/B9),I9/B9," - ")</f>
        <v>2050.1666666666665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52</v>
      </c>
      <c r="D10" s="415">
        <f>IF(ISNUMBER(C10/Datos!BH10),C10/Datos!BH10," - ")</f>
        <v>52</v>
      </c>
      <c r="E10" s="414">
        <f>IF(ISNUMBER(Datos!J10),Datos!J10," - ")</f>
        <v>27</v>
      </c>
      <c r="F10" s="415">
        <f>IF(ISNUMBER(E10/B10),E10/B10," - ")</f>
        <v>27</v>
      </c>
      <c r="G10" s="414">
        <f>IF(ISNUMBER(Datos!K10),Datos!K10," - ")</f>
        <v>27</v>
      </c>
      <c r="H10" s="415">
        <f>IF(ISNUMBER(G10/B10),G10/B10," - ")</f>
        <v>27</v>
      </c>
      <c r="I10" s="414">
        <f>IF(ISNUMBER(Datos!L10),Datos!L10," - ")</f>
        <v>52</v>
      </c>
      <c r="J10" s="415">
        <f>IF(ISNUMBER(I10/B10),I10/B10," - ")</f>
        <v>52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11115</v>
      </c>
      <c r="D13" s="996" t="str">
        <f>IF(ISNUMBER(C13/Datos!BI13),C13/Datos!BI13," - ")</f>
        <v xml:space="preserve"> - </v>
      </c>
      <c r="E13" s="995">
        <f>SUBTOTAL(9,E8:E12)</f>
        <v>2131</v>
      </c>
      <c r="F13" s="996">
        <f>IF(ISNUMBER(E13/B13),E13/B13," - ")</f>
        <v>304.42857142857144</v>
      </c>
      <c r="G13" s="995">
        <f>SUBTOTAL(9,G8:G12)</f>
        <v>2005</v>
      </c>
      <c r="H13" s="996">
        <f>IF(ISNUMBER(G13/B13),G13/B13," - ")</f>
        <v>286.42857142857144</v>
      </c>
      <c r="I13" s="995">
        <f>SUBTOTAL(9,I8:I12)</f>
        <v>12353</v>
      </c>
      <c r="J13" s="996">
        <f>IF(ISNUMBER(I13/B13),I13/B13," - ")</f>
        <v>1764.7142857142858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888</v>
      </c>
      <c r="D15" s="415">
        <f>IF(ISNUMBER(C15/Datos!BH15),C15/Datos!BH15," - ")</f>
        <v>222</v>
      </c>
      <c r="E15" s="414">
        <f>IF(ISNUMBER(IF(D_I="SI",Datos!J15,Datos!J15+Datos!AD15)),IF(D_I="SI",Datos!J15,Datos!J15+Datos!AD15)," - ")</f>
        <v>1129</v>
      </c>
      <c r="F15" s="415">
        <f>IF(ISNUMBER(E15/B15),E15/B15," - ")</f>
        <v>282.25</v>
      </c>
      <c r="G15" s="414">
        <f>IF(ISNUMBER(IF(D_I="SI",Datos!K15,Datos!K15+Datos!AE15)),IF(D_I="SI",Datos!K15,Datos!K15+Datos!AE15)," - ")</f>
        <v>1035</v>
      </c>
      <c r="H15" s="415">
        <f>IF(ISNUMBER(G15/B15),G15/B15," - ")</f>
        <v>258.75</v>
      </c>
      <c r="I15" s="414">
        <f>IF(ISNUMBER(IF(D_I="SI",Datos!L15,Datos!L15+Datos!AF15)),IF(D_I="SI",Datos!L15,Datos!L15+Datos!AF15)," - ")</f>
        <v>986</v>
      </c>
      <c r="J15" s="415">
        <f>IF(ISNUMBER(I15/B15),I15/B15," - ")</f>
        <v>246.5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215</v>
      </c>
      <c r="D17" s="415">
        <f>IF(ISNUMBER(C17/Datos!BH17),C17/Datos!BH17," - ")</f>
        <v>215</v>
      </c>
      <c r="E17" s="414">
        <f>IF(ISNUMBER(IF(D_I="SI",Datos!J17,Datos!J17+Datos!AD17)),IF(D_I="SI",Datos!J17,Datos!J17+Datos!AD17)," - ")</f>
        <v>161</v>
      </c>
      <c r="F17" s="415">
        <f>IF(ISNUMBER(E17/B17),E17/B17," - ")</f>
        <v>161</v>
      </c>
      <c r="G17" s="414">
        <f>IF(ISNUMBER(IF(D_I="SI",Datos!K17,Datos!K17+Datos!AE17)),IF(D_I="SI",Datos!K17,Datos!K17+Datos!AE17)," - ")</f>
        <v>171</v>
      </c>
      <c r="H17" s="415">
        <f>IF(ISNUMBER(G17/B17),G17/B17," - ")</f>
        <v>171</v>
      </c>
      <c r="I17" s="414">
        <f>IF(ISNUMBER(IF(D_I="SI",Datos!L17,Datos!L17+Datos!AF17)),IF(D_I="SI",Datos!L17,Datos!L17+Datos!AF17)," - ")</f>
        <v>205</v>
      </c>
      <c r="J17" s="415">
        <f>IF(ISNUMBER(I17/B17),I17/B17," - ")</f>
        <v>205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1103</v>
      </c>
      <c r="D18" s="996" t="str">
        <f>IF(ISNUMBER(C18/Datos!BI18),C18/Datos!BI18," - ")</f>
        <v xml:space="preserve"> - </v>
      </c>
      <c r="E18" s="995">
        <f>SUBTOTAL(9,E14:E17)</f>
        <v>1290</v>
      </c>
      <c r="F18" s="996">
        <f>IF(ISNUMBER(E18/B18),E18/B18," - ")</f>
        <v>258</v>
      </c>
      <c r="G18" s="995">
        <f>SUBTOTAL(9,G14:G17)</f>
        <v>1206</v>
      </c>
      <c r="H18" s="996">
        <f>IF(ISNUMBER(G18/B18),G18/B18," - ")</f>
        <v>241.2</v>
      </c>
      <c r="I18" s="995">
        <f>SUBTOTAL(9,I14:I17)</f>
        <v>1191</v>
      </c>
      <c r="J18" s="996">
        <f>IF(ISNUMBER(I18/B18),I18/B18," - ")</f>
        <v>238.2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12218</v>
      </c>
      <c r="D19" s="941" t="str">
        <f>IF(ISNUMBER(C19/Datos!BI19),C19/Datos!BI19," - ")</f>
        <v xml:space="preserve"> - </v>
      </c>
      <c r="E19" s="940">
        <f>SUBTOTAL(9,E9:E18)</f>
        <v>3421</v>
      </c>
      <c r="F19" s="941">
        <f>IF(ISNUMBER(E19/B19),E19/B19," - ")</f>
        <v>311</v>
      </c>
      <c r="G19" s="940">
        <f>SUBTOTAL(9,G9:G18)</f>
        <v>3211</v>
      </c>
      <c r="H19" s="941">
        <f>IF(ISNUMBER(G19/B19),G19/B19," - ")</f>
        <v>291.90909090909093</v>
      </c>
      <c r="I19" s="940">
        <f>SUBTOTAL(9,I9:I18)</f>
        <v>13544</v>
      </c>
      <c r="J19" s="941">
        <f>IF(ISNUMBER(I19/B19),I19/B19," - ")</f>
        <v>1231.2727272727273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bKQNdisEtUAmoxhsJruKm0TwMUXWjEUC3+Reb982Wa5rrPy4YF+5beYf623Etw+g41wwmqxrorHqQXpuP3qjg==" saltValue="DUwwaNWHobF4O439wtvE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CADIZ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52</v>
      </c>
      <c r="G10" s="802">
        <f>IF(ISNUMBER(Datos!I10),Datos!I10," - ")</f>
        <v>52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27</v>
      </c>
      <c r="AC10" s="801" t="str">
        <f>IF(ISNUMBER(IF(D_I="SI",DatosP!K17,DatosP!K17+DatosP!AE17)),IF(D_I="SI",DatosP!K17,DatosP!K17+DatosP!AE17)," - ")</f>
        <v xml:space="preserve"> - </v>
      </c>
      <c r="AD10" s="803"/>
      <c r="AE10" s="803"/>
      <c r="AF10" s="806">
        <f>IF(ISNUMBER(Datos!L10),Datos!L10,"-")</f>
        <v>52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5.7777777777777777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52</v>
      </c>
      <c r="G13" s="1084">
        <f t="shared" si="0"/>
        <v>52</v>
      </c>
      <c r="H13" s="1084">
        <f t="shared" si="0"/>
        <v>0</v>
      </c>
      <c r="I13" s="1086">
        <f t="shared" si="0"/>
        <v>0</v>
      </c>
      <c r="J13" s="1085">
        <f t="shared" si="0"/>
        <v>0</v>
      </c>
      <c r="K13" s="1085">
        <f t="shared" si="0"/>
        <v>0</v>
      </c>
      <c r="L13" s="1087">
        <f t="shared" si="0"/>
        <v>0</v>
      </c>
      <c r="M13" s="1087">
        <f t="shared" si="0"/>
        <v>0</v>
      </c>
      <c r="N13" s="1085">
        <f t="shared" si="0"/>
        <v>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27</v>
      </c>
      <c r="AC13" s="1085">
        <f t="shared" si="1"/>
        <v>0</v>
      </c>
      <c r="AD13" s="1085">
        <f t="shared" si="1"/>
        <v>0</v>
      </c>
      <c r="AE13" s="1085">
        <f t="shared" si="1"/>
        <v>0</v>
      </c>
      <c r="AF13" s="1085">
        <f t="shared" si="1"/>
        <v>52</v>
      </c>
      <c r="AG13" s="1085">
        <f t="shared" si="1"/>
        <v>0</v>
      </c>
      <c r="AH13" s="1085">
        <f t="shared" si="1"/>
        <v>0</v>
      </c>
      <c r="AI13" s="1085">
        <f t="shared" si="1"/>
        <v>0</v>
      </c>
      <c r="AJ13" s="1085">
        <f t="shared" si="1"/>
        <v>0</v>
      </c>
      <c r="AK13" s="1085">
        <f t="shared" si="1"/>
        <v>0</v>
      </c>
      <c r="AL13" s="1085">
        <f t="shared" si="1"/>
        <v>7</v>
      </c>
      <c r="AM13" s="1085">
        <f t="shared" si="1"/>
        <v>5</v>
      </c>
      <c r="AN13" s="1085">
        <f t="shared" si="1"/>
        <v>0</v>
      </c>
      <c r="AO13" s="1085">
        <f t="shared" si="1"/>
        <v>0</v>
      </c>
      <c r="AP13" s="1090">
        <f>IF(ISNUMBER(((Datos!L13/Datos!K13)*11)/factor_trimestre),((Datos!L13/Datos!K13)*11)/factor_trimestre," - ")</f>
        <v>19.140285865537319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-0.51923076923076927</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2.9626865671641789</v>
      </c>
      <c r="AQ18" s="1090">
        <f>IF(ISNUMBER(((Datos!M18/Datos!L18)*11)/factor_trimestre),((Datos!M18/Datos!L18)*11)/factor_trimestre," - ")</f>
        <v>0.44332493702770787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-0.11600000000000001</v>
      </c>
      <c r="AW18" s="1092">
        <f>IF(ISNUMBER((Datos!Q18-Datos!R18)/(Datos!S18-Datos!Q18+Datos!R18)),(Datos!Q18-Datos!R18)/(Datos!S18-Datos!Q18+Datos!R18)," - ")</f>
        <v>-0.1100244498777506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52</v>
      </c>
      <c r="G19" s="1097">
        <f t="shared" si="4"/>
        <v>52</v>
      </c>
      <c r="H19" s="1097">
        <f t="shared" si="4"/>
        <v>0</v>
      </c>
      <c r="I19" s="1098">
        <f t="shared" si="4"/>
        <v>0</v>
      </c>
      <c r="J19" s="1099">
        <f t="shared" si="4"/>
        <v>0</v>
      </c>
      <c r="K19" s="1099">
        <f t="shared" si="4"/>
        <v>0</v>
      </c>
      <c r="L19" s="1099">
        <f t="shared" si="4"/>
        <v>0</v>
      </c>
      <c r="M19" s="1099">
        <f t="shared" si="4"/>
        <v>0</v>
      </c>
      <c r="N19" s="1098">
        <f t="shared" si="4"/>
        <v>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27</v>
      </c>
      <c r="AC19" s="1103">
        <f t="shared" si="5"/>
        <v>0</v>
      </c>
      <c r="AD19" s="1103">
        <f t="shared" si="5"/>
        <v>0</v>
      </c>
      <c r="AE19" s="1103">
        <f t="shared" si="5"/>
        <v>0</v>
      </c>
      <c r="AF19" s="1104">
        <f t="shared" si="5"/>
        <v>52</v>
      </c>
      <c r="AG19" s="1104">
        <f t="shared" si="5"/>
        <v>0</v>
      </c>
      <c r="AH19" s="1104">
        <f t="shared" si="5"/>
        <v>0</v>
      </c>
      <c r="AI19" s="1104">
        <f t="shared" si="5"/>
        <v>0</v>
      </c>
      <c r="AJ19" s="1105">
        <f t="shared" si="5"/>
        <v>0</v>
      </c>
      <c r="AK19" s="1105">
        <f t="shared" si="5"/>
        <v>0</v>
      </c>
      <c r="AL19" s="1097">
        <f t="shared" si="5"/>
        <v>7</v>
      </c>
      <c r="AM19" s="1097">
        <f t="shared" si="5"/>
        <v>5</v>
      </c>
      <c r="AN19" s="1097">
        <f t="shared" si="5"/>
        <v>0</v>
      </c>
      <c r="AO19" s="1097">
        <f t="shared" si="5"/>
        <v>0</v>
      </c>
      <c r="AP19" s="1097">
        <f>IF(ISNUMBER(((Datos!L19/Datos!K19)*11)/factor_trimestre),((Datos!L19/Datos!K19)*11)/factor_trimestre," - ")</f>
        <v>12.836510500807755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-0.51923076923076927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-4.6486486486486484E-2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30.02221399786054</v>
      </c>
      <c r="G21" s="870">
        <f>IF(ISNUMBER(STDEV(G8:G18)),STDEV(G8:G18),"-")</f>
        <v>30.02221399786054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15.588457268119896</v>
      </c>
      <c r="AC21" s="871">
        <f>IF(ISNUMBER(STDEV(AC8:AC18)),STDEV(AC8:AC18),"-")</f>
        <v>0</v>
      </c>
      <c r="AD21" s="874"/>
      <c r="AE21" s="874"/>
      <c r="AF21" s="874"/>
      <c r="AG21" s="874"/>
      <c r="AH21" s="874"/>
      <c r="AI21" s="874"/>
      <c r="AJ21" s="875">
        <f>IF(ISNUMBER(STDEV(AJ8:AJ18)),STDEV(AJ8:AJ18),"-")</f>
        <v>0</v>
      </c>
      <c r="AK21" s="877"/>
      <c r="AL21" s="869">
        <f>IF(ISNUMBER(STDEV(AL8:AL18)),STDEV(AL8:AL18),"-")</f>
        <v>4.0414518843273806</v>
      </c>
      <c r="AM21" s="869"/>
      <c r="AN21" s="869">
        <f>IF(ISNUMBER(STDEV(AN8:AN18)),STDEV(AN8:AN18),"-")</f>
        <v>0</v>
      </c>
      <c r="AO21" s="875">
        <f>IF(ISNUMBER(STDEV(AO8:AO18)),STDEV(AO8:AO18),"-")</f>
        <v>0</v>
      </c>
      <c r="AP21" s="922">
        <f>IF(ISNUMBER(STDEV(AP8:AP18)),STDEV(AP8:AP18),"-")</f>
        <v>8.6428783783551726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5CYc2lz1isrCzc/hxibn0L7uc7ohgMmsyTRPVVDoqzmsMHwr9uD9OKwcGMHKdEJxwmkh6dyiWrpI89fUistX7g==" saltValue="SbVoFdOQMvWlWBmG8QKH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CADIZ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DRnqu08fuoC2LEpBX4TTT2f5BAMhe2C1Dl6TdsxHXkv10DaVFO2RQsPt5qXK7z/+HxDx6lH7l0eiMdgVRF1Iw==" saltValue="gjCDSPs21BRp2WLe55Cj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CADIZ</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921</v>
      </c>
      <c r="E9" s="415">
        <f t="shared" ref="E9:E13" si="0">IF(ISNUMBER(D9/B9),D9/B9," - ")</f>
        <v>153.5</v>
      </c>
      <c r="F9" s="414">
        <f>IF(ISNUMBER(Datos!N9),Datos!N9," - ")</f>
        <v>486</v>
      </c>
      <c r="G9" s="415">
        <f t="shared" ref="G9:G13" si="1">IF(ISNUMBER(F9/B9),F9/B9," - ")</f>
        <v>81</v>
      </c>
      <c r="H9" s="414">
        <f>IF(ISNUMBER(Datos!O9),Datos!O9," - ")</f>
        <v>926</v>
      </c>
      <c r="I9" s="415">
        <f>IF(ISNUMBER(H9/B9),H9/B9," - ")</f>
        <v>154.33333333333334</v>
      </c>
    </row>
    <row r="10" spans="1:9">
      <c r="A10" s="413" t="str">
        <f>Datos!A10</f>
        <v>Jdos. Violencia contra la mujer</v>
      </c>
      <c r="B10" s="443">
        <f>Datos!AO10</f>
        <v>1</v>
      </c>
      <c r="C10" s="421">
        <f>Datos!AQ10</f>
        <v>1</v>
      </c>
      <c r="D10" s="414">
        <f>IF(ISNUMBER(Datos!M10),Datos!M10," - ")</f>
        <v>7</v>
      </c>
      <c r="E10" s="415">
        <f>IF(ISNUMBER(D10/B10),D10/B10," - ")</f>
        <v>7</v>
      </c>
      <c r="F10" s="414">
        <f>IF(ISNUMBER(Datos!N10),Datos!N10," - ")</f>
        <v>5</v>
      </c>
      <c r="G10" s="415">
        <f>IF(ISNUMBER(F10/B10),F10/B10," - ")</f>
        <v>5</v>
      </c>
      <c r="H10" s="414">
        <f>IF(ISNUMBER(Datos!O10),Datos!O10," - ")</f>
        <v>12</v>
      </c>
      <c r="I10" s="415">
        <f t="shared" ref="I10:I12" si="2">IF(ISNUMBER(H10/B10),H10/B10," - ")</f>
        <v>12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928</v>
      </c>
      <c r="E13" s="996">
        <f t="shared" si="0"/>
        <v>132.57142857142858</v>
      </c>
      <c r="F13" s="995">
        <f>SUBTOTAL(9,F9:F12)</f>
        <v>491</v>
      </c>
      <c r="G13" s="996">
        <f t="shared" si="1"/>
        <v>70.142857142857139</v>
      </c>
      <c r="H13" s="995">
        <f>SUBTOTAL(9,H9:H12)</f>
        <v>938</v>
      </c>
      <c r="I13" s="996">
        <f>IF(ISNUMBER(H13/B13),H13/B13," - ")</f>
        <v>134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159</v>
      </c>
      <c r="E15" s="415">
        <f t="shared" ref="E15:E18" si="3">IF(ISNUMBER(D15/B15),D15/B15," - ")</f>
        <v>39.75</v>
      </c>
      <c r="F15" s="414">
        <f>IF(ISNUMBER(Datos!N15),Datos!N15," - ")</f>
        <v>629</v>
      </c>
      <c r="G15" s="415">
        <f t="shared" ref="G15:G18" si="4">IF(ISNUMBER(F15/B15),F15/B15," - ")</f>
        <v>157.25</v>
      </c>
      <c r="H15" s="414">
        <f>IF(ISNUMBER(Datos!O15),Datos!O15," - ")</f>
        <v>32</v>
      </c>
      <c r="I15" s="415">
        <f t="shared" ref="I15:I17" si="5">IF(ISNUMBER(H15/B15),H15/B15," - ")</f>
        <v>8</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17</v>
      </c>
      <c r="E17" s="415">
        <f>IF(ISNUMBER(D17/B17),D17/B17," - ")</f>
        <v>17</v>
      </c>
      <c r="F17" s="414">
        <f>IF(ISNUMBER(Datos!N17),Datos!N17," - ")</f>
        <v>89</v>
      </c>
      <c r="G17" s="415">
        <f>IF(ISNUMBER(F17/B17),F17/B17," - ")</f>
        <v>89</v>
      </c>
      <c r="H17" s="414">
        <f>IF(ISNUMBER(Datos!O17),Datos!O17," - ")</f>
        <v>4</v>
      </c>
      <c r="I17" s="415">
        <f t="shared" si="5"/>
        <v>4</v>
      </c>
    </row>
    <row r="18" spans="1:9" ht="14.25" thickTop="1" thickBot="1">
      <c r="A18" s="994" t="str">
        <f>Datos!A18</f>
        <v>TOTAL</v>
      </c>
      <c r="B18" s="995">
        <f>Datos!AO18</f>
        <v>5</v>
      </c>
      <c r="C18" s="997">
        <f>Datos!AR18</f>
        <v>5</v>
      </c>
      <c r="D18" s="995">
        <f>SUBTOTAL(9,D15:D17)</f>
        <v>176</v>
      </c>
      <c r="E18" s="996">
        <f t="shared" si="3"/>
        <v>35.200000000000003</v>
      </c>
      <c r="F18" s="995">
        <f>SUBTOTAL(9,F15:F17)</f>
        <v>718</v>
      </c>
      <c r="G18" s="996">
        <f t="shared" si="4"/>
        <v>143.6</v>
      </c>
      <c r="H18" s="995">
        <f>SUBTOTAL(9,H15:H17)</f>
        <v>36</v>
      </c>
      <c r="I18" s="996">
        <f>IF(ISNUMBER(H18/B18),H18/B18," - ")</f>
        <v>7.2</v>
      </c>
    </row>
    <row r="19" spans="1:9" ht="14.25" thickTop="1" thickBot="1">
      <c r="A19" s="939" t="str">
        <f>Datos!A19</f>
        <v>TOTAL JURISDICCIONES</v>
      </c>
      <c r="B19" s="940">
        <f>Datos!AP19</f>
        <v>11</v>
      </c>
      <c r="C19" s="940">
        <f>Datos!AR19</f>
        <v>11</v>
      </c>
      <c r="D19" s="940">
        <f>SUBTOTAL(9,D8:D18)</f>
        <v>1104</v>
      </c>
      <c r="E19" s="941">
        <f>IF(ISNUMBER(D19/B19),D19/B19," - ")</f>
        <v>100.36363636363636</v>
      </c>
      <c r="F19" s="940">
        <f>SUBTOTAL(9,F8:F18)</f>
        <v>1209</v>
      </c>
      <c r="G19" s="941">
        <f>IF(ISNUMBER(F19/B19),F19/B19," - ")</f>
        <v>109.90909090909091</v>
      </c>
      <c r="H19" s="940">
        <f>SUBTOTAL(9,H8:H18)</f>
        <v>974</v>
      </c>
      <c r="I19" s="941">
        <f>IF(ISNUMBER(H19/B19),H19/B19," - ")</f>
        <v>88.545454545454547</v>
      </c>
    </row>
    <row r="22" spans="1:9">
      <c r="A22" s="402" t="str">
        <f>Criterios!A4</f>
        <v>Fecha Informe: 06 oct. 2023</v>
      </c>
    </row>
    <row r="27" spans="1:9">
      <c r="A27" s="425"/>
    </row>
  </sheetData>
  <sheetProtection algorithmName="SHA-512" hashValue="rCo08bpm1tYjyk5WDxeTwYNKw0V+eEz8QI9Hb25YhIoTx/SEMaNw+V681luHhwF9Ha6OfdQDqjCs18LVK+Yl6Q==" saltValue="fY3yLzSlAHFbNfAhWIBv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CADIZ</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452</v>
      </c>
      <c r="C9" s="450">
        <f>IF(ISNUMBER(Datos!Q9),Datos!Q9," - ")</f>
        <v>805</v>
      </c>
      <c r="D9" s="419">
        <f>IF(ISNUMBER(Datos!R9),Datos!R9," - ")</f>
        <v>7691</v>
      </c>
    </row>
    <row r="10" spans="1:4">
      <c r="A10" s="413" t="str">
        <f>Datos!A10</f>
        <v>Jdos. Violencia contra la mujer</v>
      </c>
      <c r="B10" s="449">
        <f>IF(ISNUMBER(Datos!P10),Datos!P10," - ")</f>
        <v>1</v>
      </c>
      <c r="C10" s="450">
        <f>IF(ISNUMBER(Datos!Q10),Datos!Q10," - ")</f>
        <v>6</v>
      </c>
      <c r="D10" s="419">
        <f>IF(ISNUMBER(Datos!R10),Datos!R10," - ")</f>
        <v>26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453</v>
      </c>
      <c r="C13" s="999">
        <f>SUBTOTAL(9,C9:C12)</f>
        <v>811</v>
      </c>
      <c r="D13" s="997">
        <f>SUBTOTAL(9,D9:D12)</f>
        <v>7717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99</v>
      </c>
      <c r="C15" s="450">
        <f>IF(ISNUMBER(Datos!Q15),Datos!Q15," - ")</f>
        <v>127</v>
      </c>
      <c r="D15" s="419">
        <f>IF(ISNUMBER(Datos!R15),Datos!R15," - ")</f>
        <v>216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3</v>
      </c>
      <c r="C17" s="450">
        <f>IF(ISNUMBER(Datos!Q17),Datos!Q17," - ")</f>
        <v>4</v>
      </c>
      <c r="D17" s="419">
        <f>IF(ISNUMBER(Datos!R17),Datos!R17," - ")</f>
        <v>5</v>
      </c>
    </row>
    <row r="18" spans="1:4" ht="14.25" thickTop="1" thickBot="1">
      <c r="A18" s="994" t="str">
        <f>Datos!A18</f>
        <v>TOTAL</v>
      </c>
      <c r="B18" s="995">
        <f>SUBTOTAL(9,B15:B17)</f>
        <v>102</v>
      </c>
      <c r="C18" s="999">
        <f>SUBTOTAL(9,C15:C17)</f>
        <v>131</v>
      </c>
      <c r="D18" s="997">
        <f>SUBTOTAL(9,D15:D17)</f>
        <v>221</v>
      </c>
    </row>
    <row r="19" spans="1:4" ht="16.5" customHeight="1" thickTop="1" thickBot="1">
      <c r="A19" s="939" t="str">
        <f>Datos!A19</f>
        <v>TOTAL JURISDICCIONES</v>
      </c>
      <c r="B19" s="944">
        <f>SUBTOTAL(9,B8:B18)</f>
        <v>555</v>
      </c>
      <c r="C19" s="945">
        <f>SUBTOTAL(9,C8:C18)</f>
        <v>942</v>
      </c>
      <c r="D19" s="946">
        <f>SUBTOTAL(9,D8:D18)</f>
        <v>7938</v>
      </c>
    </row>
    <row r="20" spans="1:4" ht="7.5" customHeight="1"/>
    <row r="21" spans="1:4" ht="6" customHeight="1"/>
    <row r="22" spans="1:4">
      <c r="A22" s="402" t="str">
        <f>Criterios!A4</f>
        <v>Fecha Informe: 06 oct. 2023</v>
      </c>
    </row>
    <row r="27" spans="1:4">
      <c r="A27" s="425"/>
    </row>
  </sheetData>
  <sheetProtection algorithmName="SHA-512" hashValue="dX0Lm2EMELDqRE1b+rvWs/uagDS911oxYDnXtPzcjVhJiqtohkbPjsgT0rV0yCYCCivz6+AewwCF6f+tgqkUsQ==" saltValue="xOV4dzHuITWWYiyqb0uA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CADIZ</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-0.11275964391691394</v>
      </c>
      <c r="C9" s="472">
        <f>IF(ISNUMBER(
   IF(J_V="SI",(Datos!J9-Datos!T9)/Datos!T9,(Datos!J9+Datos!Z9-(Datos!T9+Datos!AH9))/(Datos!T9+Datos!AH9))
     ),IF(J_V="SI",(Datos!J9-Datos!T9)/Datos!T9,(Datos!J9+Datos!Z9-(Datos!T9+Datos!AH9))/(Datos!T9+Datos!AH9))," - ")</f>
        <v>-0.15738886663996796</v>
      </c>
      <c r="D9" s="472">
        <f>IF(ISNUMBER(
   IF(J_V="SI",(Datos!K9-Datos!U9)/Datos!U9,(Datos!K9+Datos!AA9-(Datos!U9+Datos!AI9))/(Datos!U9+Datos!AI9))
     ),IF(J_V="SI",(Datos!K9-Datos!U9)/Datos!U9,(Datos!K9+Datos!AA9-(Datos!U9+Datos!AI9))/(Datos!U9+Datos!AI9))," - ")</f>
        <v>-0.25611132004512976</v>
      </c>
      <c r="E9" s="472">
        <f>IF(ISNUMBER(
   IF(J_V="SI",(Datos!L9-Datos!V9)/Datos!V9,(Datos!L9+Datos!AB9-(Datos!V9+Datos!AJ9))/(Datos!V9+Datos!AJ9))
     ),IF(J_V="SI",(Datos!L9-Datos!V9)/Datos!V9,(Datos!L9+Datos!AB9-(Datos!V9+Datos!AJ9))/(Datos!V9+Datos!AJ9))," - ")</f>
        <v>-4.8752742341756725E-4</v>
      </c>
      <c r="F9" s="472">
        <f>IF(ISNUMBER((Datos!M9-Datos!W9)/Datos!W9),(Datos!M9-Datos!W9)/Datos!W9," - ")</f>
        <v>-0.29908675799086759</v>
      </c>
      <c r="G9" s="473">
        <f>IF(ISNUMBER((Datos!N9-Datos!X9)/Datos!X9),(Datos!N9-Datos!X9)/Datos!X9," - ")</f>
        <v>-0.25</v>
      </c>
      <c r="H9" s="471">
        <f>IF(ISNUMBER(((NºAsuntos!G9/NºAsuntos!E9)-Datos!BD9)/Datos!BD9),((NºAsuntos!G9/NºAsuntos!E9)-Datos!BD9)/Datos!BD9," - ")</f>
        <v>-0.1171625314413922</v>
      </c>
      <c r="I9" s="472">
        <f>IF(ISNUMBER(((NºAsuntos!I9/NºAsuntos!G9)-Datos!BE9)/Datos!BE9),((NºAsuntos!I9/NºAsuntos!G9)-Datos!BE9)/Datos!BE9," - ")</f>
        <v>0.34363178189137128</v>
      </c>
      <c r="J9" s="477">
        <f>IF(ISNUMBER((('Resol  Asuntos'!D9/NºAsuntos!G9)-Datos!BF9)/Datos!BF9),(('Resol  Asuntos'!D9/NºAsuntos!G9)-Datos!BF9)/Datos!BF9," - ")</f>
        <v>0.91063035988465713</v>
      </c>
      <c r="K9" s="478">
        <f>IF(ISNUMBER((((NºAsuntos!C9+NºAsuntos!E9)/NºAsuntos!G9)-Datos!BG9)/Datos!BG9),(((NºAsuntos!C9+NºAsuntos!E9)/NºAsuntos!G9)-Datos!BG9)/Datos!BG9," - ")</f>
        <v>0.18269604565089689</v>
      </c>
    </row>
    <row r="10" spans="1:11">
      <c r="A10" s="413" t="str">
        <f>Datos!A10</f>
        <v>Jdos. Violencia contra la mujer</v>
      </c>
      <c r="B10" s="471">
        <f>IF(ISNUMBER((Datos!I10-Datos!S10)/Datos!S10),(Datos!I10-Datos!S10)/Datos!S10," - ")</f>
        <v>-5.4545454545454543E-2</v>
      </c>
      <c r="C10" s="472">
        <f>IF(ISNUMBER((Datos!J10-Datos!T10)/Datos!T10),(Datos!J10-Datos!T10)/Datos!T10," - ")</f>
        <v>-3.5714285714285712E-2</v>
      </c>
      <c r="D10" s="472">
        <f>IF(ISNUMBER((Datos!K10-Datos!U10)/Datos!U10),(Datos!K10-Datos!U10)/Datos!U10," - ")</f>
        <v>-3.5714285714285712E-2</v>
      </c>
      <c r="E10" s="472">
        <f>IF(ISNUMBER((Datos!L10-Datos!V10)/Datos!V10),(Datos!L10-Datos!V10)/Datos!V10," - ")</f>
        <v>-5.4545454545454543E-2</v>
      </c>
      <c r="F10" s="472">
        <f>IF(ISNUMBER((Datos!M10-Datos!W10)/Datos!W10),(Datos!M10-Datos!W10)/Datos!W10," - ")</f>
        <v>0.75</v>
      </c>
      <c r="G10" s="473">
        <f>IF(ISNUMBER((Datos!N10-Datos!X10)/Datos!X10),(Datos!N10-Datos!X10)/Datos!X10," - ")</f>
        <v>-0.44444444444444442</v>
      </c>
      <c r="H10" s="471">
        <f>IF(ISNUMBER(((NºAsuntos!G10/NºAsuntos!E10)-Datos!BD10)/Datos!BD10),((NºAsuntos!G10/NºAsuntos!E10)-Datos!BD10)/Datos!BD10," - ")</f>
        <v>0</v>
      </c>
      <c r="I10" s="472">
        <f>IF(ISNUMBER(((NºAsuntos!I10/NºAsuntos!G10)-Datos!BE10)/Datos!BE10),((NºAsuntos!I10/NºAsuntos!G10)-Datos!BE10)/Datos!BE10," - ")</f>
        <v>-1.9528619528619534E-2</v>
      </c>
      <c r="J10" s="477">
        <f>IF(ISNUMBER((('Resol  Asuntos'!D10/NºAsuntos!G10)-Datos!BF10)/Datos!BF10),(('Resol  Asuntos'!D10/NºAsuntos!G10)-Datos!BF10)/Datos!BF10," - ")</f>
        <v>0.81481481481481477</v>
      </c>
      <c r="K10" s="478">
        <f>IF(ISNUMBER((((NºAsuntos!C10+NºAsuntos!E10)/NºAsuntos!G10)-Datos!BG10)/Datos!BG10),(((NºAsuntos!C10+NºAsuntos!E10)/NºAsuntos!G10)-Datos!BG10)/Datos!BG10," - ")</f>
        <v>-1.2940651494868366E-2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-0.11250399233471735</v>
      </c>
      <c r="C13" s="1001">
        <f>IF(ISNUMBER(
   IF(J_V="SI",(Datos!J13-Datos!T13)/Datos!T13,(Datos!J13+Datos!Z13-(Datos!T13+Datos!AH13))/(Datos!T13+Datos!AH13))
     ),IF(J_V="SI",(Datos!J13-Datos!T13)/Datos!T13,(Datos!J13+Datos!Z13-(Datos!T13+Datos!AH13))/(Datos!T13+Datos!AH13))," - ")</f>
        <v>-0.15603960396039604</v>
      </c>
      <c r="D13" s="1001">
        <f>IF(ISNUMBER(
   IF(J_V="SI",(Datos!K13-Datos!U13)/Datos!U13,(Datos!K13+Datos!AA13-(Datos!U13+Datos!AI13))/(Datos!U13+Datos!AI13))
     ),IF(J_V="SI",(Datos!K13-Datos!U13)/Datos!U13,(Datos!K13+Datos!AA13-(Datos!U13+Datos!AI13))/(Datos!U13+Datos!AI13))," - ")</f>
        <v>-0.25381466319315221</v>
      </c>
      <c r="E13" s="1001">
        <f>IF(ISNUMBER(
   IF(J_V="SI",(Datos!L13-Datos!V13)/Datos!V13,(Datos!L13+Datos!AB13-(Datos!V13+Datos!AJ13))/(Datos!V13+Datos!AJ13))
     ),IF(J_V="SI",(Datos!L13-Datos!V13)/Datos!V13,(Datos!L13+Datos!AB13-(Datos!V13+Datos!AJ13))/(Datos!V13+Datos!AJ13))," - ")</f>
        <v>-7.2803753437955022E-4</v>
      </c>
      <c r="F13" s="1002">
        <f>IF(ISNUMBER((Datos!M13-Datos!W13)/Datos!W13),(Datos!M13-Datos!W13)/Datos!W13," - ")</f>
        <v>-0.29590288315629742</v>
      </c>
      <c r="G13" s="1003">
        <f>IF(ISNUMBER((Datos!N13-Datos!X13)/Datos!X13),(Datos!N13-Datos!X13)/Datos!X13," - ")</f>
        <v>-0.25266362252663621</v>
      </c>
      <c r="H13" s="1003">
        <f>IF(ISNUMBER(((NºAsuntos!G13/NºAsuntos!E13)-Datos!BD13)/Datos!BD13),((NºAsuntos!G13/NºAsuntos!E13)-Datos!BD13)/Datos!BD13," - ")</f>
        <v>-0.11585266286377734</v>
      </c>
      <c r="I13" s="1003">
        <f>IF(ISNUMBER(((NºAsuntos!I13/NºAsuntos!G13)-Datos!BE13)/Datos!BE13),((NºAsuntos!I13/NºAsuntos!G13)-Datos!BE13)/Datos!BE13," - ")</f>
        <v>0.33917394670579676</v>
      </c>
      <c r="J13" s="1003">
        <f>IF(ISNUMBER((('Resol  Asuntos'!D13/NºAsuntos!G13)-Datos!BF13)/Datos!BF13),(('Resol  Asuntos'!D13/NºAsuntos!G13)-Datos!BF13)/Datos!BF13," - ")</f>
        <v>0.90745222832489347</v>
      </c>
      <c r="K13" s="1003">
        <f>IF(ISNUMBER((((NºAsuntos!C13+NºAsuntos!E13)/NºAsuntos!G13)-Datos!BG13)/Datos!BG13),(((NºAsuntos!C13+NºAsuntos!E13)/NºAsuntos!G13)-Datos!BG13)/Datos!BG13," - ")</f>
        <v>0.17958814174610663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0.46052631578947367</v>
      </c>
      <c r="C15" s="472">
        <f>IF(ISNUMBER(
   IF(D_I="SI",(Datos!J15-Datos!T15)/Datos!T15,(Datos!J15+Datos!AD15-(Datos!T15+Datos!AL15))/(Datos!T15+Datos!AL15))
     ),IF(D_I="SI",(Datos!J15-Datos!T15)/Datos!T15,(Datos!J15+Datos!AD15-(Datos!T15+Datos!AL15))/(Datos!T15+Datos!AL15))," - ")</f>
        <v>-0.21324041811846689</v>
      </c>
      <c r="D15" s="472">
        <f>IF(ISNUMBER(
   IF(D_I="SI",(Datos!K15-Datos!U15)/Datos!U15,(Datos!K15+Datos!AE15-(Datos!U15+Datos!AM15))/(Datos!U15+Datos!AM15))
     ),IF(D_I="SI",(Datos!K15-Datos!U15)/Datos!U15,(Datos!K15+Datos!AE15-(Datos!U15+Datos!AM15))/(Datos!U15+Datos!AM15))," - ")</f>
        <v>-0.28768066070199588</v>
      </c>
      <c r="E15" s="472">
        <f>IF(ISNUMBER(
   IF(D_I="SI",(Datos!L15-Datos!V15)/Datos!V15,(Datos!L15+Datos!AF15-(Datos!V15+Datos!AN15))/(Datos!V15+Datos!AN15))
     ),IF(D_I="SI",(Datos!L15-Datos!V15)/Datos!V15,(Datos!L15+Datos!AF15-(Datos!V15+Datos!AN15))/(Datos!V15+Datos!AN15))," - ")</f>
        <v>0.65993265993265993</v>
      </c>
      <c r="F15" s="472">
        <f>IF(ISNUMBER((Datos!M15-Datos!W15)/Datos!W15),(Datos!M15-Datos!W15)/Datos!W15," - ")</f>
        <v>-0.30869565217391304</v>
      </c>
      <c r="G15" s="473">
        <f>IF(ISNUMBER((Datos!N15-Datos!X15)/Datos!X15),(Datos!N15-Datos!X15)/Datos!X15," - ")</f>
        <v>-0.34751037344398339</v>
      </c>
      <c r="H15" s="471">
        <f>IF(ISNUMBER(((NºAsuntos!G15/NºAsuntos!E15)-Datos!BD15)/Datos!BD15),((NºAsuntos!G15/NºAsuntos!E15)-Datos!BD15)/Datos!BD15," - ")</f>
        <v>-9.4616251645140953E-2</v>
      </c>
      <c r="I15" s="472">
        <f>IF(ISNUMBER(((NºAsuntos!I15/NºAsuntos!G15)-Datos!BE15)/Datos!BE15),((NºAsuntos!I15/NºAsuntos!G15)-Datos!BE15)/Datos!BE15," - ")</f>
        <v>1.3303209225914541</v>
      </c>
      <c r="J15" s="477">
        <f>IF(ISNUMBER((('Resol  Asuntos'!D15/NºAsuntos!G15)-Datos!BF15)/Datos!BF15),(('Resol  Asuntos'!D15/NºAsuntos!G15)-Datos!BF15)/Datos!BF15," - ")</f>
        <v>-2.950220541902961E-2</v>
      </c>
      <c r="K15" s="478">
        <f>IF(ISNUMBER((((NºAsuntos!C15+NºAsuntos!E15)/NºAsuntos!G15)-Datos!BG15)/Datos!BG15),(((NºAsuntos!C15+NºAsuntos!E15)/NºAsuntos!G15)-Datos!BG15)/Datos!BG15," - ")</f>
        <v>0.38599861433290522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0.79166666666666663</v>
      </c>
      <c r="C17" s="472">
        <f>IF(ISNUMBER(
   IF(D_I="SI",(Datos!J17-Datos!T17)/Datos!T17,(Datos!J17+Datos!AD17-(Datos!T17+Datos!AL17))/(Datos!T17+Datos!AL17))
     ),IF(D_I="SI",(Datos!J17-Datos!T17)/Datos!T17,(Datos!J17+Datos!AD17-(Datos!T17+Datos!AL17))/(Datos!T17+Datos!AL17))," - ")</f>
        <v>-9.03954802259887E-2</v>
      </c>
      <c r="D17" s="472">
        <f>IF(ISNUMBER(
   IF(D_I="SI",(Datos!K17-Datos!U17)/Datos!U17,(Datos!K17+Datos!AE17-(Datos!U17+Datos!AM17))/(Datos!U17+Datos!AM17))
     ),IF(D_I="SI",(Datos!K17-Datos!U17)/Datos!U17,(Datos!K17+Datos!AE17-(Datos!U17+Datos!AM17))/(Datos!U17+Datos!AM17))," - ")</f>
        <v>0.25735294117647056</v>
      </c>
      <c r="E17" s="472">
        <f>IF(ISNUMBER(
   IF(D_I="SI",(Datos!L17-Datos!V17)/Datos!V17,(Datos!L17+Datos!AF17-(Datos!V17+Datos!AN17))/(Datos!V17+Datos!AN17))
     ),IF(D_I="SI",(Datos!L17-Datos!V17)/Datos!V17,(Datos!L17+Datos!AF17-(Datos!V17+Datos!AN17))/(Datos!V17+Datos!AN17))," - ")</f>
        <v>0.27329192546583853</v>
      </c>
      <c r="F17" s="472">
        <f>IF(ISNUMBER((Datos!M17-Datos!W17)/Datos!W17),(Datos!M17-Datos!W17)/Datos!W17," - ")</f>
        <v>1.4285714285714286</v>
      </c>
      <c r="G17" s="473">
        <f>IF(ISNUMBER((Datos!N17-Datos!X17)/Datos!X17),(Datos!N17-Datos!X17)/Datos!X17," - ")</f>
        <v>0.45901639344262296</v>
      </c>
      <c r="H17" s="471">
        <f>IF(ISNUMBER(((NºAsuntos!G17/NºAsuntos!E17)-Datos!BD17)/Datos!BD17),((NºAsuntos!G17/NºAsuntos!E17)-Datos!BD17)/Datos!BD17," - ")</f>
        <v>0.38230727073438053</v>
      </c>
      <c r="I17" s="472">
        <f>IF(ISNUMBER(((NºAsuntos!I17/NºAsuntos!G17)-Datos!BE17)/Datos!BE17),((NºAsuntos!I17/NºAsuntos!G17)-Datos!BE17)/Datos!BE17," - ")</f>
        <v>1.2676619083941812E-2</v>
      </c>
      <c r="J17" s="477">
        <f>IF(ISNUMBER((('Resol  Asuntos'!D17/NºAsuntos!G17)-Datos!BF17)/Datos!BF17),(('Resol  Asuntos'!D17/NºAsuntos!G17)-Datos!BF17)/Datos!BF17," - ")</f>
        <v>0.93149540517961571</v>
      </c>
      <c r="K17" s="478">
        <f>IF(ISNUMBER((((NºAsuntos!C17+NºAsuntos!E17)/NºAsuntos!G17)-Datos!BG17)/Datos!BG17),(((NºAsuntos!C17+NºAsuntos!E17)/NºAsuntos!G17)-Datos!BG17)/Datos!BG17," - ")</f>
        <v>6.8718372811940468E-3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0.51510989010989006</v>
      </c>
      <c r="C18" s="1001">
        <f>IF(ISNUMBER(
   IF(Criterios!B14="SI",(Datos!J18-Datos!T18)/Datos!T18,(Datos!J18+Datos!AD18-(Datos!T18+Datos!AL18))/(Datos!T18+Datos!AL18))
     ),IF(Criterios!B14="SI",(Datos!J18-Datos!T18)/Datos!T18,(Datos!J18+Datos!AD18-(Datos!T18+Datos!AL18))/(Datos!T18+Datos!AL18))," - ")</f>
        <v>-0.19975186104218362</v>
      </c>
      <c r="D18" s="1001">
        <f>IF(ISNUMBER(
   IF(Criterios!B14="SI",(Datos!K18-Datos!U18)/Datos!U18,(Datos!K18+Datos!AE18-(Datos!U18+Datos!AM18))/(Datos!U18+Datos!AM18))
     ),IF(Criterios!B14="SI",(Datos!K18-Datos!U18)/Datos!U18,(Datos!K18+Datos!AE18-(Datos!U18+Datos!AM18))/(Datos!U18+Datos!AM18))," - ")</f>
        <v>-0.24103209565764633</v>
      </c>
      <c r="E18" s="1001">
        <f>IF(ISNUMBER(
   IF(Criterios!B14="SI",(Datos!L18-Datos!V18)/Datos!V18,(Datos!L18+Datos!AF18-(Datos!V18+Datos!AN18))/(Datos!V18+Datos!AN18))
     ),IF(Criterios!B14="SI",(Datos!L18-Datos!V18)/Datos!V18,(Datos!L18+Datos!AF18-(Datos!V18+Datos!AN18))/(Datos!V18+Datos!AN18))," - ")</f>
        <v>0.57748344370860927</v>
      </c>
      <c r="F18" s="1002">
        <f>IF(ISNUMBER((Datos!M18-Datos!W18)/Datos!W18),(Datos!M18-Datos!W18)/Datos!W18," - ")</f>
        <v>-0.25738396624472576</v>
      </c>
      <c r="G18" s="1003">
        <f>IF(ISNUMBER((Datos!N18-Datos!X18)/Datos!X18),(Datos!N18-Datos!X18)/Datos!X18," - ")</f>
        <v>-0.29951219512195121</v>
      </c>
      <c r="H18" s="1003">
        <f>IF(ISNUMBER(((NºAsuntos!G18/NºAsuntos!E18)-Datos!BD18)/Datos!BD18),((NºAsuntos!G18/NºAsuntos!E18)-Datos!BD18)/Datos!BD18," - ")</f>
        <v>-5.1584293178392172E-2</v>
      </c>
      <c r="I18" s="1003">
        <f>IF(ISNUMBER(((NºAsuntos!I18/NºAsuntos!G18)-Datos!BE18)/Datos!BE18),((NºAsuntos!I18/NºAsuntos!G18)-Datos!BE18)/Datos!BE18," - ")</f>
        <v>1.078458699878093</v>
      </c>
      <c r="J18" s="1003">
        <f>IF(ISNUMBER((('Resol  Asuntos'!D18/NºAsuntos!G18)-Datos!BF18)/Datos!BF18),(('Resol  Asuntos'!D18/NºAsuntos!G18)-Datos!BF18)/Datos!BF18," - ")</f>
        <v>-2.1544877581151929E-2</v>
      </c>
      <c r="K18" s="1003">
        <f>IF(ISNUMBER((((NºAsuntos!C18+NºAsuntos!E18)/NºAsuntos!G18)-Datos!BG18)/Datos!BG18),(((NºAsuntos!C18+NºAsuntos!E18)/NºAsuntos!G18)-Datos!BG18)/Datos!BG18," - ")</f>
        <v>0.34742136893878195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-7.8025958345910057E-2</v>
      </c>
      <c r="C19" s="948">
        <f>IF(ISNUMBER(
   IF(J_V="SI",(Datos!J19-Datos!T19)/Datos!T19,(Datos!J19+Datos!Z19-(Datos!T19+Datos!AH19))/(Datos!T19+Datos!AH19))
     ),IF(J_V="SI",(Datos!J19-Datos!T19)/Datos!T19,(Datos!J19+Datos!Z19-(Datos!T19+Datos!AH19))/(Datos!T19+Datos!AH19))," - ")</f>
        <v>-0.17307227459511723</v>
      </c>
      <c r="D19" s="948">
        <f>IF(ISNUMBER(
   IF(J_V="SI",(Datos!K19-Datos!U19)/Datos!U19,(Datos!K19+Datos!AA19-(Datos!U19+Datos!AI19))/(Datos!U19+Datos!AI19))
     ),IF(J_V="SI",(Datos!K19-Datos!U19)/Datos!U19,(Datos!K19+Datos!AA19-(Datos!U19+Datos!AI19))/(Datos!U19+Datos!AI19))," - ")</f>
        <v>-0.24906454630495792</v>
      </c>
      <c r="E19" s="948">
        <f>IF(ISNUMBER(
   IF(J_V="SI",(Datos!L19-Datos!V19)/Datos!V19,(Datos!L19+Datos!AB19-(Datos!V19+Datos!AJ19))/(Datos!V19+Datos!AJ19))
     ),IF(J_V="SI",(Datos!L19-Datos!V19)/Datos!V19,(Datos!L19+Datos!AB19-(Datos!V19+Datos!AJ19))/(Datos!V19+Datos!AJ19))," - ")</f>
        <v>3.2553175268735232E-2</v>
      </c>
      <c r="F19" s="949">
        <f>IF(ISNUMBER((Datos!M19-Datos!W19)/Datos!W19),(Datos!M19-Datos!W19)/Datos!W19," - ")</f>
        <v>-0.29003215434083601</v>
      </c>
      <c r="G19" s="950">
        <f>IF(ISNUMBER((Datos!N19-Datos!X19)/Datos!X19),(Datos!N19-Datos!X19)/Datos!X19," - ")</f>
        <v>-0.28121284185493461</v>
      </c>
      <c r="H19" s="951">
        <f>IF(ISNUMBER((Tasas!B19-Datos!BD19)/Datos!BD19),(Tasas!B19-Datos!BD19)/Datos!BD19," - ")</f>
        <v>-9.1897114312660289E-2</v>
      </c>
      <c r="I19" s="952">
        <f>IF(ISNUMBER((Tasas!C19-Datos!BE19)/Datos!BE19),(Tasas!C19-Datos!BE19)/Datos!BE19," - ")</f>
        <v>0.37502254046998201</v>
      </c>
      <c r="J19" s="953">
        <f>IF(ISNUMBER((Tasas!D19-Datos!BF19)/Datos!BF19),(Tasas!D19-Datos!BF19)/Datos!BF19," - ")</f>
        <v>0.65373037495196296</v>
      </c>
      <c r="K19" s="953">
        <f>IF(ISNUMBER((Tasas!E19-Datos!BG19)/Datos!BG19),(Tasas!E19-Datos!BG19)/Datos!BG19," - ")</f>
        <v>0.19765508606003654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XeqFBd3cTJLYKSgbti39Ddz2eq/JgyykXBnQD6VyS+ngRdu2BJ0eT27kH6iSCpuIrd0mAYWnYeR8NQUEKKacw==" saltValue="BwSuIbfbIW+wF9B7igkO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CADIZ</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0.9401140684410646</v>
      </c>
      <c r="C9" s="459">
        <f>IF(ISNUMBER(NºAsuntos!I9/NºAsuntos!G9),NºAsuntos!I9/NºAsuntos!G9," - ")</f>
        <v>6.2189079878665314</v>
      </c>
      <c r="D9" s="460">
        <f>IF(ISNUMBER('Resol  Asuntos'!D9/NºAsuntos!G9),'Resol  Asuntos'!D9/NºAsuntos!G9," - ")</f>
        <v>0.46562184024266934</v>
      </c>
      <c r="E9" s="461">
        <f>IF(ISNUMBER((NºAsuntos!C9+NºAsuntos!E9)/NºAsuntos!G9),(NºAsuntos!C9+NºAsuntos!E9)/NºAsuntos!G9," - ")</f>
        <v>6.6567239635995952</v>
      </c>
      <c r="G9" s="479"/>
    </row>
    <row r="10" spans="1:7">
      <c r="A10" s="413" t="str">
        <f>Datos!A10</f>
        <v>Jdos. Violencia contra la mujer</v>
      </c>
      <c r="B10" s="458">
        <f>IF(ISNUMBER(NºAsuntos!G10/NºAsuntos!E10),NºAsuntos!G10/NºAsuntos!E10," - ")</f>
        <v>1</v>
      </c>
      <c r="C10" s="459">
        <f>IF(ISNUMBER(NºAsuntos!I10/NºAsuntos!G10),NºAsuntos!I10/NºAsuntos!G10," - ")</f>
        <v>1.9259259259259258</v>
      </c>
      <c r="D10" s="460">
        <f>IF(ISNUMBER('Resol  Asuntos'!D10/NºAsuntos!G10),'Resol  Asuntos'!D10/NºAsuntos!G10," - ")</f>
        <v>0.25925925925925924</v>
      </c>
      <c r="E10" s="461">
        <f>IF(ISNUMBER((NºAsuntos!C10+NºAsuntos!E10)/NºAsuntos!G10),(NºAsuntos!C10+NºAsuntos!E10)/NºAsuntos!G10," - ")</f>
        <v>2.925925925925926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0.94087282965743779</v>
      </c>
      <c r="C13" s="1005">
        <f>IF(ISNUMBER(NºAsuntos!I13/NºAsuntos!G13),NºAsuntos!I13/NºAsuntos!G13," - ")</f>
        <v>6.1610972568578557</v>
      </c>
      <c r="D13" s="1006">
        <f>IF(ISNUMBER('Resol  Asuntos'!D13/NºAsuntos!G13),'Resol  Asuntos'!D13/NºAsuntos!G13," - ")</f>
        <v>0.46284289276807983</v>
      </c>
      <c r="E13" s="1007">
        <f>IF(ISNUMBER((NºAsuntos!C13+NºAsuntos!E13)/NºAsuntos!G13),(NºAsuntos!C13+NºAsuntos!E13)/NºAsuntos!G13," - ")</f>
        <v>6.6064837905236908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0.91674047829937999</v>
      </c>
      <c r="C15" s="459">
        <f>IF(ISNUMBER(NºAsuntos!I15/NºAsuntos!G15),NºAsuntos!I15/NºAsuntos!G15," - ")</f>
        <v>0.95265700483091786</v>
      </c>
      <c r="D15" s="460">
        <f>IF(ISNUMBER('Resol  Asuntos'!D15/NºAsuntos!G15),'Resol  Asuntos'!D15/NºAsuntos!G15," - ")</f>
        <v>0.15362318840579711</v>
      </c>
      <c r="E15" s="461">
        <f>IF(ISNUMBER((NºAsuntos!C15+NºAsuntos!E15)/NºAsuntos!G15),(NºAsuntos!C15+NºAsuntos!E15)/NºAsuntos!G15," - ")</f>
        <v>1.9487922705314009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1.0621118012422359</v>
      </c>
      <c r="C17" s="459">
        <f>IF(ISNUMBER(NºAsuntos!I17/NºAsuntos!G17),NºAsuntos!I17/NºAsuntos!G17," - ")</f>
        <v>1.1988304093567252</v>
      </c>
      <c r="D17" s="460">
        <f>IF(ISNUMBER('Resol  Asuntos'!D17/NºAsuntos!G17),'Resol  Asuntos'!D17/NºAsuntos!G17," - ")</f>
        <v>9.9415204678362568E-2</v>
      </c>
      <c r="E17" s="461">
        <f>IF(ISNUMBER((NºAsuntos!C17+NºAsuntos!E17)/NºAsuntos!G17),(NºAsuntos!C17+NºAsuntos!E17)/NºAsuntos!G17," - ")</f>
        <v>2.198830409356725</v>
      </c>
      <c r="G17" s="479"/>
    </row>
    <row r="18" spans="1:7" ht="14.25" thickTop="1" thickBot="1">
      <c r="A18" s="994" t="str">
        <f>Datos!A18</f>
        <v>TOTAL</v>
      </c>
      <c r="B18" s="1004">
        <f>IF(ISNUMBER(NºAsuntos!G18/NºAsuntos!E18),NºAsuntos!G18/NºAsuntos!E18," - ")</f>
        <v>0.93488372093023253</v>
      </c>
      <c r="C18" s="1005">
        <f>IF(ISNUMBER(NºAsuntos!I18/NºAsuntos!G18),NºAsuntos!I18/NºAsuntos!G18," - ")</f>
        <v>0.98756218905472637</v>
      </c>
      <c r="D18" s="1008">
        <f>IF(ISNUMBER('Resol  Asuntos'!D18/NºAsuntos!G18),'Resol  Asuntos'!D18/NºAsuntos!G18," - ")</f>
        <v>0.14593698175787728</v>
      </c>
      <c r="E18" s="1007">
        <f>IF(ISNUMBER((NºAsuntos!C18+NºAsuntos!E18)/NºAsuntos!G18),(NºAsuntos!C18+NºAsuntos!E18)/NºAsuntos!G18," - ")</f>
        <v>1.9842454394693201</v>
      </c>
      <c r="G18" s="479"/>
    </row>
    <row r="19" spans="1:7" ht="15.75" customHeight="1" thickTop="1" thickBot="1">
      <c r="A19" s="939" t="str">
        <f>Datos!A19</f>
        <v>TOTAL JURISDICCIONES</v>
      </c>
      <c r="B19" s="954">
        <f>IF(ISNUMBER(NºAsuntos!G19/NºAsuntos!E19),NºAsuntos!G19/NºAsuntos!E19," - ")</f>
        <v>0.93861444022215723</v>
      </c>
      <c r="C19" s="955">
        <f>IF(ISNUMBER(NºAsuntos!I19/NºAsuntos!G19),NºAsuntos!I19/NºAsuntos!G19," - ")</f>
        <v>4.2180006228589226</v>
      </c>
      <c r="D19" s="956">
        <f>IF(ISNUMBER('Resol  Asuntos'!D19/NºAsuntos!G19),'Resol  Asuntos'!D19/NºAsuntos!G19," - ")</f>
        <v>0.34381812519464339</v>
      </c>
      <c r="E19" s="957">
        <f>IF(ISNUMBER((NºAsuntos!C19+NºAsuntos!E19)/NºAsuntos!G19),(NºAsuntos!C19+NºAsuntos!E19)/NºAsuntos!G19," - ")</f>
        <v>4.8704453441295543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JxVDZXFvFfG2PxUljDCOu3S+fWFg82XXipZZnCd4vCA2fKraIHjmq/W6ESa/2w2K5o8U6BzXuD0BEvhBKJ8vg==" saltValue="JLyJbE0/+RAnE2z3jX5H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CADIZ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452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805</v>
      </c>
      <c r="Y9" s="343">
        <f>SUM(W9:X9)</f>
        <v>805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7691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921</v>
      </c>
      <c r="AJ9" s="233" t="str">
        <f>IF(ISNUMBER(Datos!BW9),Datos!BW9," - ")</f>
        <v xml:space="preserve"> - </v>
      </c>
      <c r="AK9" s="232" t="str">
        <f>IF(ISNUMBER(Datos!BX9),Datos!BX9," - ")</f>
        <v xml:space="preserve"> - </v>
      </c>
      <c r="AL9" s="247">
        <f>IF(ISNUMBER(NºAsuntos!G9/NºAsuntos!E9),NºAsuntos!G9/NºAsuntos!E9," - ")</f>
        <v>0.9401140684410646</v>
      </c>
      <c r="AM9" s="264">
        <f>IF(ISNUMBER(((NºAsuntos!I9/NºAsuntos!G9)*11)/factor_trimestre),((NºAsuntos!I9/NºAsuntos!G9)*11)/factor_trimestre," - ")</f>
        <v>18.656723963599593</v>
      </c>
      <c r="AN9" s="248">
        <f>IF(ISNUMBER('Resol  Asuntos'!D9/NºAsuntos!G9),'Resol  Asuntos'!D9/NºAsuntos!G9," - ")</f>
        <v>0.46562184024266934</v>
      </c>
      <c r="AO9" s="249">
        <f>IF(ISNUMBER((NºAsuntos!C9+NºAsuntos!E9)/NºAsuntos!G9),(NºAsuntos!C9+NºAsuntos!E9)/NºAsuntos!G9," - ")</f>
        <v>6.6567239635995952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52</v>
      </c>
      <c r="G10" s="342">
        <f>IF(ISNUMBER(Datos!I10),Datos!I10," - ")</f>
        <v>52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27</v>
      </c>
      <c r="X10" s="230">
        <f>IF(ISNUMBER(Datos!Q10),Datos!Q10," - ")</f>
        <v>6</v>
      </c>
      <c r="Y10" s="343">
        <f t="shared" ref="Y10:Y12" si="0">SUM(W10:X10)</f>
        <v>33</v>
      </c>
      <c r="Z10" s="344" t="str">
        <f>IF(ISNUMBER(Datos!CC10),Datos!CC10," - ")</f>
        <v xml:space="preserve"> - </v>
      </c>
      <c r="AA10" s="341">
        <f>IF(ISNUMBER(Datos!L10),Datos!L10,"-")</f>
        <v>52</v>
      </c>
      <c r="AB10" s="343">
        <f>IF(ISNUMBER(Datos!R10),Datos!R10," - ")</f>
        <v>26</v>
      </c>
      <c r="AC10" s="343">
        <f t="shared" ref="AC10:AC12" si="1">IF(ISNUMBER(AA10+AB10),AA10+AB10," - ")</f>
        <v>78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5.7777777777777777</v>
      </c>
      <c r="AN10" s="248">
        <f>IF(ISNUMBER('Resol  Asuntos'!D10/NºAsuntos!G10),'Resol  Asuntos'!D10/NºAsuntos!G10," - ")</f>
        <v>0.25925925925925924</v>
      </c>
      <c r="AO10" s="249">
        <f>IF(ISNUMBER((NºAsuntos!C10+NºAsuntos!E10)/NºAsuntos!G10),(NºAsuntos!C10+NºAsuntos!E10)/NºAsuntos!G10," - ")</f>
        <v>2.925925925925926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52</v>
      </c>
      <c r="G13" s="1012">
        <f t="shared" si="3"/>
        <v>52</v>
      </c>
      <c r="H13" s="1011">
        <f t="shared" si="3"/>
        <v>0</v>
      </c>
      <c r="I13" s="1013">
        <f t="shared" si="3"/>
        <v>0</v>
      </c>
      <c r="J13" s="1013">
        <f t="shared" si="3"/>
        <v>0</v>
      </c>
      <c r="K13" s="1013">
        <f t="shared" si="3"/>
        <v>0</v>
      </c>
      <c r="L13" s="1013">
        <f t="shared" si="3"/>
        <v>453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27</v>
      </c>
      <c r="X13" s="1013">
        <f t="shared" si="4"/>
        <v>811</v>
      </c>
      <c r="Y13" s="1014">
        <f t="shared" si="4"/>
        <v>838</v>
      </c>
      <c r="Z13" s="1014">
        <f t="shared" si="4"/>
        <v>0</v>
      </c>
      <c r="AA13" s="1014">
        <f t="shared" si="4"/>
        <v>52</v>
      </c>
      <c r="AB13" s="1014">
        <f t="shared" si="4"/>
        <v>7717</v>
      </c>
      <c r="AC13" s="1014">
        <f t="shared" si="4"/>
        <v>78</v>
      </c>
      <c r="AD13" s="1014">
        <f t="shared" si="4"/>
        <v>0</v>
      </c>
      <c r="AE13" s="1018">
        <f t="shared" si="4"/>
        <v>0</v>
      </c>
      <c r="AF13" s="1011">
        <f t="shared" si="4"/>
        <v>0</v>
      </c>
      <c r="AG13" s="1019">
        <f t="shared" si="4"/>
        <v>0</v>
      </c>
      <c r="AH13" s="1016">
        <f t="shared" si="4"/>
        <v>0</v>
      </c>
      <c r="AI13" s="1011">
        <f t="shared" si="4"/>
        <v>928</v>
      </c>
      <c r="AJ13" s="1013">
        <f t="shared" si="4"/>
        <v>0</v>
      </c>
      <c r="AK13" s="1016">
        <f>SUBTOTAL(9,AK9:AK12)</f>
        <v>0</v>
      </c>
      <c r="AL13" s="1020">
        <f>IF(ISNUMBER(NºAsuntos!G13/NºAsuntos!E13),NºAsuntos!G13/NºAsuntos!E13," - ")</f>
        <v>0.94087282965743779</v>
      </c>
      <c r="AM13" s="1020">
        <f>IF(ISNUMBER(((NºAsuntos!I13/NºAsuntos!G13)*11)/factor_trimestre),((NºAsuntos!I13/NºAsuntos!G13)*11)/factor_trimestre," - ")</f>
        <v>18.483291770573569</v>
      </c>
      <c r="AN13" s="1021">
        <f>IF(ISNUMBER('Resol  Asuntos'!D13/NºAsuntos!G13),'Resol  Asuntos'!D13/NºAsuntos!G13," - ")</f>
        <v>0.46284289276807983</v>
      </c>
      <c r="AO13" s="1022">
        <f>IF(ISNUMBER((NºAsuntos!C13+NºAsuntos!E13)/NºAsuntos!G13),(NºAsuntos!C13+NºAsuntos!E13)/NºAsuntos!G13," - ")</f>
        <v>6.6064837905236908</v>
      </c>
      <c r="AP13" s="1023" t="str">
        <f t="shared" si="2"/>
        <v xml:space="preserve"> - </v>
      </c>
      <c r="AQ13" s="1023">
        <f>IF(ISNUMBER((H13-W13+K13)/(F13)),(H13-W13+K13)/(F13)," - ")</f>
        <v>-0.51923076923076927</v>
      </c>
      <c r="AR13" s="1024">
        <f>IF(ISNUMBER((Datos!P13-Datos!Q13)/(Datos!R13-Datos!P13+Datos!Q13)),(Datos!P13-Datos!Q13)/(Datos!R13-Datos!P13+Datos!Q13)," - ")</f>
        <v>-4.4334365325077396E-2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892</v>
      </c>
      <c r="G15" s="342">
        <f>IF(ISNUMBER(IF(D_I="SI",Datos!I15,Datos!I15+Datos!AC15)),IF(D_I="SI",Datos!I15,Datos!I15+Datos!AC15)," - ")</f>
        <v>888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1035</v>
      </c>
      <c r="X15" s="230">
        <f>IF(ISNUMBER(Datos!Q15),Datos!Q15," - ")</f>
        <v>127</v>
      </c>
      <c r="Y15" s="343">
        <f>SUM(W15)</f>
        <v>1035</v>
      </c>
      <c r="Z15" s="344" t="str">
        <f>IF(ISNUMBER(Datos!CC15),Datos!CC15," - ")</f>
        <v xml:space="preserve"> - </v>
      </c>
      <c r="AA15" s="341">
        <f>IF(ISNUMBER(IF(D_I="SI",Datos!L15,Datos!L15+Datos!AF15)),IF(D_I="SI",Datos!L15,Datos!L15+Datos!AF15)," - ")</f>
        <v>986</v>
      </c>
      <c r="AB15" s="343">
        <f>IF(ISNUMBER(Datos!R15),Datos!R15," - ")</f>
        <v>216</v>
      </c>
      <c r="AC15" s="343">
        <f t="shared" ref="AC15:AC17" si="6">IF(ISNUMBER(AA15+AB15),AA15+AB15," - ")</f>
        <v>1202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159</v>
      </c>
      <c r="AJ15" s="235" t="str">
        <f>IF(ISNUMBER(Datos!BW15),Datos!BW15," - ")</f>
        <v xml:space="preserve"> - </v>
      </c>
      <c r="AK15" s="236" t="str">
        <f>IF(ISNUMBER(Datos!BX15),Datos!BX15," - ")</f>
        <v xml:space="preserve"> - </v>
      </c>
      <c r="AL15" s="247">
        <f>IF(ISNUMBER(NºAsuntos!G15/NºAsuntos!E15),NºAsuntos!G15/NºAsuntos!E15," - ")</f>
        <v>0.91674047829937999</v>
      </c>
      <c r="AM15" s="264">
        <f>IF(ISNUMBER(((NºAsuntos!I15/NºAsuntos!G15)*11)/factor_trimestre),((NºAsuntos!I15/NºAsuntos!G15)*11)/factor_trimestre," - ")</f>
        <v>2.8579710144927537</v>
      </c>
      <c r="AN15" s="248">
        <f>IF(ISNUMBER('Resol  Asuntos'!D15/NºAsuntos!G15),'Resol  Asuntos'!D15/NºAsuntos!G15," - ")</f>
        <v>0.15362318840579711</v>
      </c>
      <c r="AO15" s="249">
        <f>IF(ISNUMBER((NºAsuntos!C15+NºAsuntos!E15)/NºAsuntos!G15),(NºAsuntos!C15+NºAsuntos!E15)/NºAsuntos!G15," - ")</f>
        <v>1.9487922705314009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215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171</v>
      </c>
      <c r="X17" s="230">
        <f>IF(ISNUMBER(Datos!Q17),Datos!Q17," - ")</f>
        <v>4</v>
      </c>
      <c r="Y17" s="343">
        <f t="shared" si="7"/>
        <v>175</v>
      </c>
      <c r="Z17" s="344" t="str">
        <f>IF(ISNUMBER(Datos!CC17),Datos!CC17," - ")</f>
        <v xml:space="preserve"> - </v>
      </c>
      <c r="AA17" s="341">
        <f>IF(ISNUMBER(Datos!L17),Datos!L17,"-")</f>
        <v>205</v>
      </c>
      <c r="AB17" s="343">
        <f>IF(ISNUMBER(Datos!R17),Datos!R17," - ")</f>
        <v>5</v>
      </c>
      <c r="AC17" s="343">
        <f t="shared" si="6"/>
        <v>210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1.0621118012422359</v>
      </c>
      <c r="AM17" s="264">
        <f>IF(ISNUMBER(((NºAsuntos!I17/NºAsuntos!G17)*11)/factor_trimestre),((NºAsuntos!I17/NºAsuntos!G17)*11)/factor_trimestre," - ")</f>
        <v>3.596491228070176</v>
      </c>
      <c r="AN17" s="248">
        <f>IF(ISNUMBER('Resol  Asuntos'!D17/NºAsuntos!G17),'Resol  Asuntos'!D17/NºAsuntos!G17," - ")</f>
        <v>9.9415204678362568E-2</v>
      </c>
      <c r="AO17" s="249">
        <f>IF(ISNUMBER((NºAsuntos!C17+NºAsuntos!E17)/NºAsuntos!G17),(NºAsuntos!C17+NºAsuntos!E17)/NºAsuntos!G17," - ")</f>
        <v>2.198830409356725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892</v>
      </c>
      <c r="G18" s="1012">
        <f>SUBTOTAL(9,G15:G17)</f>
        <v>1103</v>
      </c>
      <c r="H18" s="1011">
        <f t="shared" ref="H18:O18" si="10">SUBTOTAL(9,H14:H17)</f>
        <v>0</v>
      </c>
      <c r="I18" s="1013">
        <f t="shared" si="10"/>
        <v>0</v>
      </c>
      <c r="J18" s="1013">
        <f t="shared" si="10"/>
        <v>0</v>
      </c>
      <c r="K18" s="1013">
        <f t="shared" si="10"/>
        <v>0</v>
      </c>
      <c r="L18" s="1013">
        <f t="shared" si="10"/>
        <v>102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1206</v>
      </c>
      <c r="X18" s="1013">
        <f t="shared" si="11"/>
        <v>131</v>
      </c>
      <c r="Y18" s="1014">
        <f t="shared" si="11"/>
        <v>1210</v>
      </c>
      <c r="Z18" s="1014">
        <f t="shared" si="11"/>
        <v>0</v>
      </c>
      <c r="AA18" s="1014">
        <f t="shared" si="11"/>
        <v>1191</v>
      </c>
      <c r="AB18" s="1014">
        <f t="shared" si="11"/>
        <v>221</v>
      </c>
      <c r="AC18" s="1014">
        <f t="shared" si="11"/>
        <v>1412</v>
      </c>
      <c r="AD18" s="1014">
        <f t="shared" si="11"/>
        <v>0</v>
      </c>
      <c r="AE18" s="1018">
        <f t="shared" si="11"/>
        <v>0</v>
      </c>
      <c r="AF18" s="1011">
        <f t="shared" si="11"/>
        <v>0</v>
      </c>
      <c r="AG18" s="1019">
        <f t="shared" si="11"/>
        <v>0</v>
      </c>
      <c r="AH18" s="1016">
        <f t="shared" si="11"/>
        <v>0</v>
      </c>
      <c r="AI18" s="1011">
        <f t="shared" si="11"/>
        <v>176</v>
      </c>
      <c r="AJ18" s="1013">
        <f t="shared" si="11"/>
        <v>0</v>
      </c>
      <c r="AK18" s="1016">
        <f t="shared" si="11"/>
        <v>0</v>
      </c>
      <c r="AL18" s="1020">
        <f>IF(ISNUMBER(NºAsuntos!G18/NºAsuntos!E18),NºAsuntos!G18/NºAsuntos!E18," - ")</f>
        <v>0.93488372093023253</v>
      </c>
      <c r="AM18" s="1020">
        <f>IF(ISNUMBER(((NºAsuntos!I18/NºAsuntos!G18)*11)/factor_trimestre),((NºAsuntos!I18/NºAsuntos!G18)*11)/factor_trimestre," - ")</f>
        <v>2.9626865671641789</v>
      </c>
      <c r="AN18" s="1021">
        <f>IF(ISNUMBER('Resol  Asuntos'!D18/NºAsuntos!G18),'Resol  Asuntos'!D18/NºAsuntos!G18," - ")</f>
        <v>0.14593698175787728</v>
      </c>
      <c r="AO18" s="1022">
        <f>IF(ISNUMBER((NºAsuntos!C18+NºAsuntos!E18)/NºAsuntos!G18),(NºAsuntos!C18+NºAsuntos!E18)/NºAsuntos!G18," - ")</f>
        <v>1.9842454394693201</v>
      </c>
      <c r="AP18" s="1023" t="str">
        <f t="shared" si="2"/>
        <v xml:space="preserve"> - </v>
      </c>
      <c r="AQ18" s="1023">
        <f>IF(ISNUMBER((H18-W18+K18)/(F18)),(H18-W18+K18)/(F18)," - ")</f>
        <v>-1.352017937219731</v>
      </c>
      <c r="AR18" s="1024">
        <f>IF(ISNUMBER((Datos!P18-Datos!Q18)/(Datos!R18-Datos!P18+Datos!Q18)),(Datos!P18-Datos!Q18)/(Datos!R18-Datos!P18+Datos!Q18)," - ")</f>
        <v>-0.11600000000000001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944</v>
      </c>
      <c r="G19" s="967">
        <f t="shared" si="13"/>
        <v>1155</v>
      </c>
      <c r="H19" s="966">
        <f t="shared" si="13"/>
        <v>0</v>
      </c>
      <c r="I19" s="968">
        <f t="shared" si="13"/>
        <v>0</v>
      </c>
      <c r="J19" s="968">
        <f t="shared" si="13"/>
        <v>0</v>
      </c>
      <c r="K19" s="1027">
        <f t="shared" si="13"/>
        <v>0</v>
      </c>
      <c r="L19" s="968">
        <f t="shared" si="13"/>
        <v>555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1233</v>
      </c>
      <c r="X19" s="967">
        <f t="shared" si="14"/>
        <v>942</v>
      </c>
      <c r="Y19" s="974">
        <f t="shared" si="14"/>
        <v>2048</v>
      </c>
      <c r="Z19" s="974">
        <f t="shared" si="14"/>
        <v>0</v>
      </c>
      <c r="AA19" s="974">
        <f t="shared" si="14"/>
        <v>1243</v>
      </c>
      <c r="AB19" s="974">
        <f t="shared" si="14"/>
        <v>7938</v>
      </c>
      <c r="AC19" s="974">
        <f t="shared" si="14"/>
        <v>1490</v>
      </c>
      <c r="AD19" s="974">
        <f t="shared" si="14"/>
        <v>0</v>
      </c>
      <c r="AE19" s="976">
        <f t="shared" si="14"/>
        <v>0</v>
      </c>
      <c r="AF19" s="977">
        <f t="shared" si="14"/>
        <v>0</v>
      </c>
      <c r="AG19" s="978">
        <f t="shared" si="14"/>
        <v>0</v>
      </c>
      <c r="AH19" s="976">
        <f t="shared" si="14"/>
        <v>0</v>
      </c>
      <c r="AI19" s="966">
        <f t="shared" si="14"/>
        <v>1104</v>
      </c>
      <c r="AJ19" s="966">
        <f t="shared" si="14"/>
        <v>0</v>
      </c>
      <c r="AK19" s="976">
        <f t="shared" si="14"/>
        <v>0</v>
      </c>
      <c r="AL19" s="1030">
        <f>IF(ISNUMBER(NºAsuntos!G19/NºAsuntos!E19),NºAsuntos!G19/NºAsuntos!E19," - ")</f>
        <v>0.93861444022215723</v>
      </c>
      <c r="AM19" s="1031">
        <f>IF(ISNUMBER(((NºAsuntos!I19/NºAsuntos!G19)*11)/factor_trimestre),((NºAsuntos!I19/NºAsuntos!G19)*11)/factor_trimestre," - ")</f>
        <v>12.654001868576769</v>
      </c>
      <c r="AN19" s="1031">
        <f>IF(ISNUMBER('Resol  Asuntos'!D19/NºAsuntos!G19),'Resol  Asuntos'!D19/NºAsuntos!G19," - ")</f>
        <v>0.34381812519464339</v>
      </c>
      <c r="AO19" s="1032">
        <f>IF(ISNUMBER((NºAsuntos!C19+NºAsuntos!E19)/NºAsuntos!G19),(NºAsuntos!C19+NºAsuntos!E19)/NºAsuntos!G19," - ")</f>
        <v>4.8704453441295543</v>
      </c>
      <c r="AP19" s="1033" t="str">
        <f t="shared" si="2"/>
        <v xml:space="preserve"> - </v>
      </c>
      <c r="AQ19" s="1034">
        <f>IF(OR(ISNUMBER(FIND("01",Criterios!A8,1)),ISNUMBER(FIND("02",Criterios!A8,1)),ISNUMBER(FIND("03",Criterios!A8,1)),ISNUMBER(FIND("04",Criterios!A8,1))),(I19-W19+K19)/(F19-K19),(H19-W19+K19)/(F19-K19))</f>
        <v>-1.3061440677966101</v>
      </c>
      <c r="AR19" s="1035">
        <f>IF(ISNUMBER((Datos!P19-Datos!Q19)/(Datos!R19-Datos!P19+Datos!Q19)),(Datos!P19-Datos!Q19)/(Datos!R19-Datos!P19+Datos!Q19)," - ")</f>
        <v>-4.6486486486486484E-2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462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2.8284271247461903</v>
      </c>
      <c r="F21" s="256">
        <f>IF(ISNUMBER(STDEV(F8:F18)),STDEV(F8:F18),"-")</f>
        <v>484.97422611928562</v>
      </c>
      <c r="G21" s="257">
        <f>IF(ISNUMBER(STDEV(G8:G18)),STDEV(G8:G18),"-")</f>
        <v>497.38465999666698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578.81966103441925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436.68661532041489</v>
      </c>
      <c r="AJ21" s="256">
        <f t="shared" si="18"/>
        <v>0</v>
      </c>
      <c r="AK21" s="258">
        <f t="shared" si="18"/>
        <v>0</v>
      </c>
      <c r="AL21" s="253">
        <f t="shared" si="18"/>
        <v>5.4935209019540444E-2</v>
      </c>
      <c r="AM21" s="254">
        <f t="shared" si="18"/>
        <v>7.7003554157685485</v>
      </c>
      <c r="AN21" s="254">
        <f t="shared" si="18"/>
        <v>0.16335311097418942</v>
      </c>
      <c r="AO21" s="255">
        <f t="shared" si="18"/>
        <v>2.2825716820295439</v>
      </c>
      <c r="AP21" s="295" t="str">
        <f t="shared" si="18"/>
        <v>-</v>
      </c>
      <c r="AQ21" s="296">
        <f t="shared" si="18"/>
        <v>0.58886945377013522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d5bBVnzWoZdp6SU7OQYAzSqFYShXF11pwsdyr/LZ/AE/iCaKbGzKmytNvkhJcJj3eJgauqJDK6Xpoj3WUpzMA==" saltValue="Dk5ETUbnR2SxdoPF7XRx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CADIZ</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-0.29908675799086759</v>
      </c>
      <c r="I9" s="359">
        <f>IF(ISNUMBER((Tasas!C9-Datos!BE9)/Datos!BE9),(Tasas!C9-Datos!BE9)/Datos!BE9," - ")</f>
        <v>0.34363178189137128</v>
      </c>
      <c r="J9" s="358">
        <f>IF(ISNUMBER((Tasas!D9-Datos!BF9)/Datos!BF9),(Tasas!D9-Datos!BF9)/Datos!BF9," - ")</f>
        <v>0.91063035988465713</v>
      </c>
      <c r="K9" s="360">
        <f>IF(ISNUMBER((Tasas!E9-Datos!BG9)/Datos!BG9),(Tasas!E9-Datos!BG9)/Datos!BG9," - ")</f>
        <v>0.18269604565089689</v>
      </c>
      <c r="M9" t="e">
        <f>IF(Monitorios="SI",Datos!CE9,0)</f>
        <v>#REF!</v>
      </c>
      <c r="N9" t="e">
        <f>IF(Monitorios="SI",Datos!CF9,0)</f>
        <v>#REF!</v>
      </c>
      <c r="O9" t="e">
        <f>IF(Monitorios="SI",Datos!CG9,0)</f>
        <v>#REF!</v>
      </c>
      <c r="P9" t="e">
        <f>IF(Monitorios="SI",Datos!CH9,0)</f>
        <v>#REF!</v>
      </c>
      <c r="Q9">
        <f>IF(J_V="SI",0,Datos!AG9)</f>
        <v>267</v>
      </c>
      <c r="R9">
        <f>IF(J_V="SI",0,Datos!AH9)</f>
        <v>200</v>
      </c>
      <c r="S9">
        <f>IF(J_V="SI",0,Datos!AI9)</f>
        <v>161</v>
      </c>
      <c r="T9">
        <f>IF(J_V="SI",0,Datos!AJ9)</f>
        <v>306</v>
      </c>
    </row>
    <row r="10" spans="2:20" ht="14.25">
      <c r="B10" s="279" t="s">
        <v>249</v>
      </c>
      <c r="C10" s="7" t="str">
        <f>Datos!A10</f>
        <v>Jdos. Violencia contra la mujer</v>
      </c>
      <c r="D10" s="361">
        <f>IF(ISNUMBER((Datos!I10-Datos!S10)/Datos!S10),(Datos!I10-Datos!S10)/Datos!S10," - ")</f>
        <v>-5.4545454545454543E-2</v>
      </c>
      <c r="E10" s="357">
        <f>IF(ISNUMBER((Datos!J10-Datos!T10)/Datos!T10),(Datos!J10-Datos!T10)/Datos!T10," - ")</f>
        <v>-3.5714285714285712E-2</v>
      </c>
      <c r="F10" s="357">
        <f>IF(ISNUMBER((Datos!K10-Datos!U10)/Datos!U10),(Datos!K10-Datos!U10)/Datos!U10," - ")</f>
        <v>-3.5714285714285712E-2</v>
      </c>
      <c r="G10" s="358">
        <f>IF(ISNUMBER((Datos!L10-Datos!V10)/Datos!V10),(Datos!L10-Datos!V10)/Datos!V10," - ")</f>
        <v>-5.4545454545454543E-2</v>
      </c>
      <c r="H10" s="234">
        <f>IF(ISNUMBER((Datos!M10-Datos!W10)/Datos!W10),(Datos!M10-Datos!W10)/Datos!W10," - ")</f>
        <v>0.75</v>
      </c>
      <c r="I10" s="359">
        <f>IF(ISNUMBER((Tasas!C10-Datos!BE10)/Datos!BE10),(Tasas!C10-Datos!BE10)/Datos!BE10," - ")</f>
        <v>-1.9528619528619534E-2</v>
      </c>
      <c r="J10" s="358">
        <f>IF(ISNUMBER((Tasas!D10-Datos!BF10)/Datos!BF10),(Tasas!D10-Datos!BF10)/Datos!BF10," - ")</f>
        <v>0.81481481481481477</v>
      </c>
      <c r="K10" s="360">
        <f>IF(ISNUMBER((Tasas!E10-Datos!BG10)/Datos!BG10),(Tasas!E10-Datos!BG10)/Datos!BG10," - ")</f>
        <v>-1.2940651494868366E-2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-0.29590288315629742</v>
      </c>
      <c r="I13" s="366">
        <f>IF(ISNUMBER((Tasas!C13-Datos!BE13)/Datos!BE13),(Tasas!C13-Datos!BE13)/Datos!BE13," - ")</f>
        <v>0.33917394670579676</v>
      </c>
      <c r="J13" s="364">
        <f>IF(ISNUMBER((Tasas!D13-Datos!BF13)/Datos!BF13),(Tasas!D13-Datos!BF13)/Datos!BF13," - ")</f>
        <v>0.90745222832489347</v>
      </c>
      <c r="K13" s="367">
        <f>IF(ISNUMBER((Tasas!E13-Datos!BG13)/Datos!BG13),(Tasas!E13-Datos!BG13)/Datos!BG13," - ")</f>
        <v>0.17958814174610663</v>
      </c>
      <c r="M13" t="e">
        <f>IF(Monitorios="SI",Datos!CE13,0)</f>
        <v>#REF!</v>
      </c>
      <c r="N13" t="e">
        <f>IF(Monitorios="SI",Datos!CF13,0)</f>
        <v>#REF!</v>
      </c>
      <c r="O13" t="e">
        <f>IF(Monitorios="SI",Datos!CG13,0)</f>
        <v>#REF!</v>
      </c>
      <c r="P13" t="e">
        <f>IF(Monitorios="SI",Datos!CH13,0)</f>
        <v>#REF!</v>
      </c>
      <c r="Q13">
        <f>IF(J_V="SI",0,Datos!AG13)</f>
        <v>267</v>
      </c>
      <c r="R13">
        <f>IF(J_V="SI",0,Datos!AH13)</f>
        <v>200</v>
      </c>
      <c r="S13">
        <f>IF(J_V="SI",0,Datos!AI13)</f>
        <v>161</v>
      </c>
      <c r="T13">
        <f>IF(J_V="SI",0,Datos!AJ13)</f>
        <v>306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0.46052631578947367</v>
      </c>
      <c r="E15" s="357">
        <f>IF(ISNUMBER(
   IF(D_I="SI",(Datos!J15-Datos!T15)/Datos!T15,(Datos!J15+Datos!AD15-(Datos!T15+Datos!AL15))/(Datos!T15+Datos!AL15))
     ),IF(D_I="SI",(Datos!J15-Datos!T15)/Datos!T15,(Datos!J15+Datos!AD15-(Datos!T15+Datos!AL15))/(Datos!T15+Datos!AL15))," - ")</f>
        <v>-0.21324041811846689</v>
      </c>
      <c r="F15" s="357">
        <f>IF(ISNUMBER(
   IF(D_I="SI",(Datos!K15-Datos!U15)/Datos!U15,(Datos!K15+Datos!AE15-(Datos!U15+Datos!AM15))/(Datos!U15+Datos!AM15))
     ),IF(D_I="SI",(Datos!K15-Datos!U15)/Datos!U15,(Datos!K15+Datos!AE15-(Datos!U15+Datos!AM15))/(Datos!U15+Datos!AM15))," - ")</f>
        <v>-0.28768066070199588</v>
      </c>
      <c r="G15" s="358">
        <f>IF(ISNUMBER(
   IF(D_I="SI",(Datos!L15-Datos!V15)/Datos!V15,(Datos!L15+Datos!AF15-(Datos!V15+Datos!AN15))/(Datos!V15+Datos!AN15))
     ),IF(D_I="SI",(Datos!L15-Datos!V15)/Datos!V15,(Datos!L15+Datos!AF15-(Datos!V15+Datos!AN15))/(Datos!V15+Datos!AN15))," - ")</f>
        <v>0.65993265993265993</v>
      </c>
      <c r="H15" s="234">
        <f>IF(ISNUMBER((Datos!M15-Datos!W15)/Datos!W15),(Datos!M15-Datos!W15)/Datos!W15," - ")</f>
        <v>-0.30869565217391304</v>
      </c>
      <c r="I15" s="359">
        <f>IF(ISNUMBER((Tasas!C15-Datos!BE15)/Datos!BE15),(Tasas!C15-Datos!BE15)/Datos!BE15," - ")</f>
        <v>1.3303209225914541</v>
      </c>
      <c r="J15" s="358">
        <f>IF(ISNUMBER((Tasas!D15-Datos!BF15)/Datos!BF15),(Tasas!D15-Datos!BF15)/Datos!BF15," - ")</f>
        <v>-2.950220541902961E-2</v>
      </c>
      <c r="K15" s="360">
        <f>IF(ISNUMBER((Tasas!E15-Datos!BG15)/Datos!BG15),(Tasas!E15-Datos!BG15)/Datos!BG15," - ")</f>
        <v>0.38599861433290522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0.79166666666666663</v>
      </c>
      <c r="E17" s="357">
        <f>IF(ISNUMBER(
   IF(D_I="SI",(Datos!J17-Datos!T17)/Datos!T17,(Datos!J17+Datos!AD17-(Datos!T17+Datos!AL17))/(Datos!T17+Datos!AL17))
     ),IF(D_I="SI",(Datos!J17-Datos!T17)/Datos!T17,(Datos!J17+Datos!AD17-(Datos!T17+Datos!AL17))/(Datos!T17+Datos!AL17))," - ")</f>
        <v>-9.03954802259887E-2</v>
      </c>
      <c r="F17" s="357">
        <f>IF(ISNUMBER(
   IF(D_I="SI",(Datos!K17-Datos!U17)/Datos!U17,(Datos!K17+Datos!AE17-(Datos!U17+Datos!AM17))/(Datos!U17+Datos!AM17))
     ),IF(D_I="SI",(Datos!K17-Datos!U17)/Datos!U17,(Datos!K17+Datos!AE17-(Datos!U17+Datos!AM17))/(Datos!U17+Datos!AM17))," - ")</f>
        <v>0.25735294117647056</v>
      </c>
      <c r="G17" s="358">
        <f>IF(ISNUMBER(
   IF(D_I="SI",(Datos!L17-Datos!V17)/Datos!V17,(Datos!L17+Datos!AF17-(Datos!V17+Datos!AN17))/(Datos!V17+Datos!AN17))
     ),IF(D_I="SI",(Datos!L17-Datos!V17)/Datos!V17,(Datos!L17+Datos!AF17-(Datos!V17+Datos!AN17))/(Datos!V17+Datos!AN17))," - ")</f>
        <v>0.27329192546583853</v>
      </c>
      <c r="H17" s="234">
        <f>IF(ISNUMBER((Datos!M17-Datos!W17)/Datos!W17),(Datos!M17-Datos!W17)/Datos!W17," - ")</f>
        <v>1.4285714285714286</v>
      </c>
      <c r="I17" s="359">
        <f>IF(ISNUMBER((Tasas!C17-Datos!BE17)/Datos!BE17),(Tasas!C17-Datos!BE17)/Datos!BE17," - ")</f>
        <v>1.2676619083941812E-2</v>
      </c>
      <c r="J17" s="358">
        <f>IF(ISNUMBER((Tasas!D17-Datos!BF17)/Datos!BF17),(Tasas!D17-Datos!BF17)/Datos!BF17," - ")</f>
        <v>0.93149540517961571</v>
      </c>
      <c r="K17" s="360">
        <f>IF(ISNUMBER((Tasas!E17-Datos!BG17)/Datos!BG17),(Tasas!E17-Datos!BG17)/Datos!BG17," - ")</f>
        <v>6.8718372811940468E-3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0.51510989010989006</v>
      </c>
      <c r="E18" s="363">
        <f>IF(ISNUMBER(
   IF(D_I="SI",(Datos!J18-Datos!T18)/Datos!T18,(Datos!J18+Datos!AD18-(Datos!T18+Datos!AL18))/(Datos!T18+Datos!AL18))
     ),IF(D_I="SI",(Datos!J18-Datos!T18)/Datos!T18,(Datos!J18+Datos!AD18-(Datos!T18+Datos!AL18))/(Datos!T18+Datos!AL18))," - ")</f>
        <v>-0.19975186104218362</v>
      </c>
      <c r="F18" s="363">
        <f>IF(ISNUMBER(
   IF(D_I="SI",(Datos!K18-Datos!U18)/Datos!U18,(Datos!K18+Datos!AE18-(Datos!U18+Datos!AM18))/(Datos!U18+Datos!AM18))
     ),IF(D_I="SI",(Datos!K18-Datos!U18)/Datos!U18,(Datos!K18+Datos!AE18-(Datos!U18+Datos!AM18))/(Datos!U18+Datos!AM18))," - ")</f>
        <v>-0.24103209565764633</v>
      </c>
      <c r="G18" s="364">
        <f>IF(ISNUMBER(
   IF(D_I="SI",(Datos!L18-Datos!V18)/Datos!V18,(Datos!L18+Datos!AF18-(Datos!V18+Datos!AN18))/(Datos!V18+Datos!AN18))
     ),IF(D_I="SI",(Datos!L18-Datos!V18)/Datos!V18,(Datos!L18+Datos!AF18-(Datos!V18+Datos!AN18))/(Datos!V18+Datos!AN18))," - ")</f>
        <v>0.57748344370860927</v>
      </c>
      <c r="H18" s="365">
        <f>IF(ISNUMBER((Datos!M18-Datos!W18)/Datos!W18),(Datos!M18-Datos!W18)/Datos!W18," - ")</f>
        <v>-0.25738396624472576</v>
      </c>
      <c r="I18" s="366">
        <f>IF(ISNUMBER((Tasas!C18-Datos!BE18)/Datos!BE18),(Tasas!C18-Datos!BE18)/Datos!BE18," - ")</f>
        <v>1.078458699878093</v>
      </c>
      <c r="J18" s="364">
        <f>IF(ISNUMBER((Tasas!D18-Datos!BF18)/Datos!BF18),(Tasas!D18-Datos!BF18)/Datos!BF18," - ")</f>
        <v>-2.1544877581151929E-2</v>
      </c>
      <c r="K18" s="367">
        <f>IF(ISNUMBER((Tasas!E18-Datos!BG18)/Datos!BG18),(Tasas!E18-Datos!BG18)/Datos!BG18," - ")</f>
        <v>0.34742136893878195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-7.8025958345910057E-2</v>
      </c>
      <c r="E19" s="372">
        <f>IF(ISNUMBER(
   IF(J_V="SI",(Datos!J19-Datos!T19)/Datos!T19,(Datos!J19+Datos!Z19-(Datos!T19+Datos!AH19))/(Datos!T19+Datos!AH19))
     ),IF(J_V="SI",(Datos!J19-Datos!T19)/Datos!T19,(Datos!J19+Datos!Z19-(Datos!T19+Datos!AH19))/(Datos!T19+Datos!AH19))," - ")</f>
        <v>-0.17307227459511723</v>
      </c>
      <c r="F19" s="372">
        <f>IF(ISNUMBER(
   IF(J_V="SI",(Datos!K19-Datos!U19)/Datos!U19,(Datos!K19+Datos!AA19-(Datos!U19+Datos!AI19))/(Datos!U19+Datos!AI19))
     ),IF(J_V="SI",(Datos!K19-Datos!U19)/Datos!U19,(Datos!K19+Datos!AA19-(Datos!U19+Datos!AI19))/(Datos!U19+Datos!AI19))," - ")</f>
        <v>-0.24906454630495792</v>
      </c>
      <c r="G19" s="373">
        <f>IF(ISNUMBER(
   IF(J_V="SI",(Datos!L19-Datos!V19)/Datos!V19,(Datos!L19+Datos!AB19-(Datos!V19+Datos!AJ19))/(Datos!V19+Datos!AJ19))
     ),IF(J_V="SI",(Datos!L19-Datos!V19)/Datos!V19,(Datos!L19+Datos!AB19-(Datos!V19+Datos!AJ19))/(Datos!V19+Datos!AJ19))," - ")</f>
        <v>3.2553175268735232E-2</v>
      </c>
      <c r="H19" s="374">
        <f>IF(ISNUMBER((Datos!M19-Datos!W19)/Datos!W19),(Datos!M19-Datos!W19)/Datos!W19," - ")</f>
        <v>-0.29003215434083601</v>
      </c>
      <c r="I19" s="371">
        <f>IF(ISNUMBER((Tasas!C19-Datos!BE19)/Datos!BE19),(Tasas!C19-Datos!BE19)/Datos!BE19," - ")</f>
        <v>0.37502254046998201</v>
      </c>
      <c r="J19" s="372">
        <f>IF(ISNUMBER((Tasas!D19-Datos!BF19)/Datos!BF19),(Tasas!D19-Datos!BF19)/Datos!BF19," - ")</f>
        <v>0.65373037495196296</v>
      </c>
      <c r="K19" s="373">
        <f>IF(ISNUMBER((Tasas!E19-Datos!BG19)/Datos!BG19),(Tasas!E19-Datos!BG19)/Datos!BG19," - ")</f>
        <v>0.19765508606003654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0.35296341212662202</v>
      </c>
      <c r="E21" s="282">
        <f t="shared" si="1"/>
        <v>8.5948397697927309E-2</v>
      </c>
      <c r="F21" s="282">
        <f t="shared" si="1"/>
        <v>0.24818612260077433</v>
      </c>
      <c r="G21" s="283">
        <f t="shared" si="1"/>
        <v>0.32483819851901674</v>
      </c>
      <c r="H21" s="289">
        <f t="shared" si="1"/>
        <v>0.74421978823804391</v>
      </c>
      <c r="I21" s="281">
        <f t="shared" si="1"/>
        <v>0.56223852263179774</v>
      </c>
      <c r="J21" s="282">
        <f t="shared" si="1"/>
        <v>0.47505626384415772</v>
      </c>
      <c r="K21" s="283">
        <f t="shared" si="1"/>
        <v>0.16592574516960099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CFcVLse4mrpYplROJ26a94jVJS7/ls1HblEbls3IoP0Ws8bf3xO9PKDu8rnz622mWH8Y/DQ6WyjGK6Q+Ck6JQ==" saltValue="r170w6bnrATGCnI2hPoyk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